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20" yWindow="40" windowWidth="31180" windowHeight="18860" activeTab="1"/>
  </bookViews>
  <sheets>
    <sheet name="TMC YTD 2015 by Month" sheetId="2" r:id="rId1"/>
    <sheet name="TMC YTD 2015 by Project" sheetId="1" r:id="rId2"/>
    <sheet name="2015 Detail" sheetId="3" r:id="rId3"/>
    <sheet name="2014" sheetId="4" r:id="rId4"/>
  </sheets>
  <definedNames>
    <definedName name="_xlnm.Print_Titles" localSheetId="1">'TMC YTD 2015 by Project'!$A:$G,'TMC YTD 2015 by Project'!$1:$1</definedName>
    <definedName name="QB_COLUMN_100210" localSheetId="1" hidden="1">'TMC YTD 2015 by Project'!$M$1</definedName>
    <definedName name="QB_COLUMN_102210" localSheetId="1" hidden="1">'TMC YTD 2015 by Project'!$N$1</definedName>
    <definedName name="QB_COLUMN_103210" localSheetId="1" hidden="1">'TMC YTD 2015 by Project'!$O$1</definedName>
    <definedName name="QB_COLUMN_127210" localSheetId="1" hidden="1">'TMC YTD 2015 by Project'!$J$1</definedName>
    <definedName name="QB_COLUMN_155210" localSheetId="1" hidden="1">'TMC YTD 2015 by Project'!$P$1</definedName>
    <definedName name="QB_COLUMN_167210" localSheetId="1" hidden="1">'TMC YTD 2015 by Project'!$K$1</definedName>
    <definedName name="QB_COLUMN_42301" localSheetId="1" hidden="1">'TMC YTD 2015 by Project'!$Q$1</definedName>
    <definedName name="QB_COLUMN_43210" localSheetId="1" hidden="1">'TMC YTD 2015 by Project'!$H$1</definedName>
    <definedName name="QB_COLUMN_61210" localSheetId="1" hidden="1">'TMC YTD 2015 by Project'!$I$1</definedName>
    <definedName name="QB_COLUMN_89210" localSheetId="1" hidden="1">'TMC YTD 2015 by Project'!$L$1</definedName>
    <definedName name="QB_DATA_0" localSheetId="1" hidden="1">'TMC YTD 2015 by Project'!$5:$5,'TMC YTD 2015 by Project'!$6:$6,'TMC YTD 2015 by Project'!$7:$7,'TMC YTD 2015 by Project'!$14:$14,'TMC YTD 2015 by Project'!$15:$15,'TMC YTD 2015 by Project'!$16:$16,'TMC YTD 2015 by Project'!$17:$17,'TMC YTD 2015 by Project'!$18:$18,'TMC YTD 2015 by Project'!$19:$19,'TMC YTD 2015 by Project'!$20:$20,'TMC YTD 2015 by Project'!$21:$21,'TMC YTD 2015 by Project'!$22:$22,'TMC YTD 2015 by Project'!$23:$23,'TMC YTD 2015 by Project'!$24:$24</definedName>
    <definedName name="QB_FORMULA_0" localSheetId="1" hidden="1">'TMC YTD 2015 by Project'!$Q$5,'TMC YTD 2015 by Project'!$Q$6,'TMC YTD 2015 by Project'!$Q$7,'TMC YTD 2015 by Project'!$H$8,'TMC YTD 2015 by Project'!$I$8,'TMC YTD 2015 by Project'!$J$8,'TMC YTD 2015 by Project'!$K$8,'TMC YTD 2015 by Project'!$L$8,'TMC YTD 2015 by Project'!$M$8,'TMC YTD 2015 by Project'!$N$8,'TMC YTD 2015 by Project'!$O$8,'TMC YTD 2015 by Project'!$P$8,'TMC YTD 2015 by Project'!$Q$8,'TMC YTD 2015 by Project'!$H$9,'TMC YTD 2015 by Project'!$I$9,'TMC YTD 2015 by Project'!$J$9</definedName>
    <definedName name="QB_FORMULA_1" localSheetId="1" hidden="1">'TMC YTD 2015 by Project'!$K$9,'TMC YTD 2015 by Project'!$L$9,'TMC YTD 2015 by Project'!$M$9,'TMC YTD 2015 by Project'!$N$9,'TMC YTD 2015 by Project'!$O$9,'TMC YTD 2015 by Project'!$P$9,'TMC YTD 2015 by Project'!$Q$9,'TMC YTD 2015 by Project'!$H$10,'TMC YTD 2015 by Project'!$I$10,'TMC YTD 2015 by Project'!$J$10,'TMC YTD 2015 by Project'!$K$10,'TMC YTD 2015 by Project'!$L$10,'TMC YTD 2015 by Project'!$M$10,'TMC YTD 2015 by Project'!$N$10,'TMC YTD 2015 by Project'!$O$10,'TMC YTD 2015 by Project'!$P$10</definedName>
    <definedName name="QB_FORMULA_2" localSheetId="1" hidden="1">'TMC YTD 2015 by Project'!$Q$10,'TMC YTD 2015 by Project'!$Q$14,'TMC YTD 2015 by Project'!$Q$15,'TMC YTD 2015 by Project'!$Q$16,'TMC YTD 2015 by Project'!$Q$17,'TMC YTD 2015 by Project'!$Q$18,'TMC YTD 2015 by Project'!$Q$19,'TMC YTD 2015 by Project'!$Q$20,'TMC YTD 2015 by Project'!$Q$21,'TMC YTD 2015 by Project'!$Q$22,'TMC YTD 2015 by Project'!$Q$23,'TMC YTD 2015 by Project'!$Q$24,'TMC YTD 2015 by Project'!$H$25,'TMC YTD 2015 by Project'!$I$25,'TMC YTD 2015 by Project'!$J$25,'TMC YTD 2015 by Project'!$K$25</definedName>
    <definedName name="QB_FORMULA_3" localSheetId="1" hidden="1">'TMC YTD 2015 by Project'!$L$25,'TMC YTD 2015 by Project'!$M$25,'TMC YTD 2015 by Project'!$N$25,'TMC YTD 2015 by Project'!$O$25,'TMC YTD 2015 by Project'!$P$25,'TMC YTD 2015 by Project'!$Q$25,'TMC YTD 2015 by Project'!$H$26,'TMC YTD 2015 by Project'!$I$26,'TMC YTD 2015 by Project'!$J$26,'TMC YTD 2015 by Project'!$K$26,'TMC YTD 2015 by Project'!$L$26,'TMC YTD 2015 by Project'!$M$26,'TMC YTD 2015 by Project'!$N$26,'TMC YTD 2015 by Project'!$O$26,'TMC YTD 2015 by Project'!$P$26,'TMC YTD 2015 by Project'!$Q$26</definedName>
    <definedName name="QB_FORMULA_4" localSheetId="1" hidden="1">'TMC YTD 2015 by Project'!$H$27,'TMC YTD 2015 by Project'!$I$27,'TMC YTD 2015 by Project'!$J$27,'TMC YTD 2015 by Project'!$K$27,'TMC YTD 2015 by Project'!$L$27,'TMC YTD 2015 by Project'!$M$27,'TMC YTD 2015 by Project'!$N$27,'TMC YTD 2015 by Project'!$O$27,'TMC YTD 2015 by Project'!$P$27,'TMC YTD 2015 by Project'!$Q$27,'TMC YTD 2015 by Project'!$H$28,'TMC YTD 2015 by Project'!$I$28,'TMC YTD 2015 by Project'!$J$28,'TMC YTD 2015 by Project'!$K$28,'TMC YTD 2015 by Project'!$L$28,'TMC YTD 2015 by Project'!$M$28</definedName>
    <definedName name="QB_FORMULA_5" localSheetId="1" hidden="1">'TMC YTD 2015 by Project'!$N$28,'TMC YTD 2015 by Project'!$O$28,'TMC YTD 2015 by Project'!$P$28,'TMC YTD 2015 by Project'!$Q$28,'TMC YTD 2015 by Project'!#REF!,'TMC YTD 2015 by Project'!#REF!,'TMC YTD 2015 by Project'!#REF!,'TMC YTD 2015 by Project'!#REF!,'TMC YTD 2015 by Project'!#REF!,'TMC YTD 2015 by Project'!#REF!,'TMC YTD 2015 by Project'!#REF!,'TMC YTD 2015 by Project'!#REF!,'TMC YTD 2015 by Project'!#REF!,'TMC YTD 2015 by Project'!#REF!</definedName>
    <definedName name="QB_ROW_1416040" localSheetId="1" hidden="1">'TMC YTD 2015 by Project'!$E$4</definedName>
    <definedName name="QB_ROW_1416340" localSheetId="1" hidden="1">'TMC YTD 2015 by Project'!$E$8</definedName>
    <definedName name="QB_ROW_1417250" localSheetId="1" hidden="1">'TMC YTD 2015 by Project'!$F$5</definedName>
    <definedName name="QB_ROW_1438040" localSheetId="1" hidden="1">'TMC YTD 2015 by Project'!$E$12</definedName>
    <definedName name="QB_ROW_1438340" localSheetId="1" hidden="1">'TMC YTD 2015 by Project'!$E$26</definedName>
    <definedName name="QB_ROW_1439050" localSheetId="1" hidden="1">'TMC YTD 2015 by Project'!$F$13</definedName>
    <definedName name="QB_ROW_1439350" localSheetId="1" hidden="1">'TMC YTD 2015 by Project'!$F$25</definedName>
    <definedName name="QB_ROW_1440260" localSheetId="1" hidden="1">'TMC YTD 2015 by Project'!$G$14</definedName>
    <definedName name="QB_ROW_1443260" localSheetId="1" hidden="1">'TMC YTD 2015 by Project'!$G$15</definedName>
    <definedName name="QB_ROW_1446260" localSheetId="1" hidden="1">'TMC YTD 2015 by Project'!$G$16</definedName>
    <definedName name="QB_ROW_1449260" localSheetId="1" hidden="1">'TMC YTD 2015 by Project'!$G$17</definedName>
    <definedName name="QB_ROW_1452260" localSheetId="1" hidden="1">'TMC YTD 2015 by Project'!$G$20</definedName>
    <definedName name="QB_ROW_1453260" localSheetId="1" hidden="1">'TMC YTD 2015 by Project'!$G$21</definedName>
    <definedName name="QB_ROW_1454260" localSheetId="1" hidden="1">'TMC YTD 2015 by Project'!$G$22</definedName>
    <definedName name="QB_ROW_1521260" localSheetId="1" hidden="1">'TMC YTD 2015 by Project'!$G$24</definedName>
    <definedName name="QB_ROW_1523260" localSheetId="1" hidden="1">'TMC YTD 2015 by Project'!$G$18</definedName>
    <definedName name="QB_ROW_1525260" localSheetId="1" hidden="1">'TMC YTD 2015 by Project'!$G$19</definedName>
    <definedName name="QB_ROW_1526260" localSheetId="1" hidden="1">'TMC YTD 2015 by Project'!$G$23</definedName>
    <definedName name="QB_ROW_1669250" localSheetId="1" hidden="1">'TMC YTD 2015 by Project'!$F$6</definedName>
    <definedName name="QB_ROW_1693250" localSheetId="1" hidden="1">'TMC YTD 2015 by Project'!$F$7</definedName>
    <definedName name="QB_ROW_18301" localSheetId="1" hidden="1">'TMC YTD 2015 by Project'!#REF!</definedName>
    <definedName name="QB_ROW_19011" localSheetId="1" hidden="1">'TMC YTD 2015 by Project'!$B$2</definedName>
    <definedName name="QB_ROW_19311" localSheetId="1" hidden="1">'TMC YTD 2015 by Project'!$B$28</definedName>
    <definedName name="QB_ROW_20031" localSheetId="1" hidden="1">'TMC YTD 2015 by Project'!$D$3</definedName>
    <definedName name="QB_ROW_20331" localSheetId="1" hidden="1">'TMC YTD 2015 by Project'!$D$9</definedName>
    <definedName name="QB_ROW_21031" localSheetId="1" hidden="1">'TMC YTD 2015 by Project'!$D$11</definedName>
    <definedName name="QB_ROW_21331" localSheetId="1" hidden="1">'TMC YTD 2015 by Project'!$D$27</definedName>
    <definedName name="QB_ROW_86321" localSheetId="1" hidden="1">'TMC YTD 2015 by Project'!$C$10</definedName>
    <definedName name="QBCANSUPPORTUPDATE" localSheetId="1">TRUE</definedName>
    <definedName name="QBCOMPANYFILENAME" localSheetId="1">"\\mjm-fps02\QuickbooksDB2\Mother Jones\Mother Jones Magazine.QBW"</definedName>
    <definedName name="QBENDDATE" localSheetId="1">20150331</definedName>
    <definedName name="QBHEADERSONSCREEN" localSheetId="1">FALSE</definedName>
    <definedName name="QBMETADATASIZE" localSheetId="1">5901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19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7</definedName>
    <definedName name="QBSTARTDATE" localSheetId="1">20150101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4" i="4" l="1"/>
  <c r="T74" i="4"/>
  <c r="H73" i="4"/>
  <c r="T73" i="4"/>
  <c r="Q72" i="4"/>
  <c r="H72" i="4"/>
  <c r="T72" i="4"/>
  <c r="W47" i="4"/>
  <c r="V47" i="4"/>
  <c r="P42" i="4"/>
  <c r="P43" i="4"/>
  <c r="P44" i="4"/>
  <c r="L42" i="4"/>
  <c r="L43" i="4"/>
  <c r="L44" i="4"/>
  <c r="S42" i="4"/>
  <c r="S43" i="4"/>
  <c r="S44" i="4"/>
  <c r="R42" i="4"/>
  <c r="R43" i="4"/>
  <c r="R44" i="4"/>
  <c r="Q42" i="4"/>
  <c r="Q43" i="4"/>
  <c r="Q44" i="4"/>
  <c r="O42" i="4"/>
  <c r="O43" i="4"/>
  <c r="O44" i="4"/>
  <c r="N42" i="4"/>
  <c r="N43" i="4"/>
  <c r="N44" i="4"/>
  <c r="M42" i="4"/>
  <c r="M43" i="4"/>
  <c r="M44" i="4"/>
  <c r="K42" i="4"/>
  <c r="K43" i="4"/>
  <c r="K44" i="4"/>
  <c r="J42" i="4"/>
  <c r="J43" i="4"/>
  <c r="J44" i="4"/>
  <c r="I42" i="4"/>
  <c r="I43" i="4"/>
  <c r="I44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H28" i="4"/>
  <c r="H42" i="4"/>
  <c r="T27" i="4"/>
  <c r="S21" i="4"/>
  <c r="R21" i="4"/>
  <c r="Q21" i="4"/>
  <c r="P21" i="4"/>
  <c r="O21" i="4"/>
  <c r="N21" i="4"/>
  <c r="M21" i="4"/>
  <c r="L21" i="4"/>
  <c r="K21" i="4"/>
  <c r="J21" i="4"/>
  <c r="I21" i="4"/>
  <c r="H21" i="4"/>
  <c r="T21" i="4"/>
  <c r="T20" i="4"/>
  <c r="T19" i="4"/>
  <c r="T18" i="4"/>
  <c r="T17" i="4"/>
  <c r="M14" i="4"/>
  <c r="M15" i="4"/>
  <c r="M22" i="4"/>
  <c r="M23" i="4"/>
  <c r="M45" i="4"/>
  <c r="M46" i="4"/>
  <c r="I14" i="4"/>
  <c r="I15" i="4"/>
  <c r="I22" i="4"/>
  <c r="I23" i="4"/>
  <c r="S14" i="4"/>
  <c r="S15" i="4"/>
  <c r="S22" i="4"/>
  <c r="R14" i="4"/>
  <c r="R15" i="4"/>
  <c r="R22" i="4"/>
  <c r="P14" i="4"/>
  <c r="P15" i="4"/>
  <c r="P22" i="4"/>
  <c r="O14" i="4"/>
  <c r="O15" i="4"/>
  <c r="O22" i="4"/>
  <c r="N14" i="4"/>
  <c r="N15" i="4"/>
  <c r="N22" i="4"/>
  <c r="L14" i="4"/>
  <c r="L15" i="4"/>
  <c r="L22" i="4"/>
  <c r="K14" i="4"/>
  <c r="K15" i="4"/>
  <c r="K22" i="4"/>
  <c r="J14" i="4"/>
  <c r="J15" i="4"/>
  <c r="J22" i="4"/>
  <c r="H13" i="4"/>
  <c r="H10" i="4"/>
  <c r="H14" i="4"/>
  <c r="T12" i="4"/>
  <c r="T11" i="4"/>
  <c r="Q10" i="4"/>
  <c r="Q14" i="4"/>
  <c r="Q15" i="4"/>
  <c r="Q22" i="4"/>
  <c r="W5" i="4"/>
  <c r="V5" i="4"/>
  <c r="H5" i="4"/>
  <c r="I5" i="4"/>
  <c r="M5" i="4"/>
  <c r="T5" i="4"/>
  <c r="M47" i="4"/>
  <c r="T61" i="4"/>
  <c r="Q23" i="4"/>
  <c r="Q45" i="4"/>
  <c r="Q46" i="4"/>
  <c r="Q47" i="4"/>
  <c r="T59" i="4"/>
  <c r="N23" i="4"/>
  <c r="N45" i="4"/>
  <c r="N46" i="4"/>
  <c r="N47" i="4"/>
  <c r="T58" i="4"/>
  <c r="S47" i="4"/>
  <c r="T63" i="4"/>
  <c r="S23" i="4"/>
  <c r="S45" i="4"/>
  <c r="S46" i="4"/>
  <c r="T42" i="4"/>
  <c r="H43" i="4"/>
  <c r="I47" i="4"/>
  <c r="T62" i="4"/>
  <c r="K47" i="4"/>
  <c r="T55" i="4"/>
  <c r="K23" i="4"/>
  <c r="K45" i="4"/>
  <c r="K46" i="4"/>
  <c r="O47" i="4"/>
  <c r="T60" i="4"/>
  <c r="O23" i="4"/>
  <c r="O45" i="4"/>
  <c r="O46" i="4"/>
  <c r="I45" i="4"/>
  <c r="I46" i="4"/>
  <c r="P23" i="4"/>
  <c r="P45" i="4"/>
  <c r="P46" i="4"/>
  <c r="P47" i="4"/>
  <c r="T57" i="4"/>
  <c r="H15" i="4"/>
  <c r="T14" i="4"/>
  <c r="R47" i="4"/>
  <c r="T64" i="4"/>
  <c r="R23" i="4"/>
  <c r="R45" i="4"/>
  <c r="R46" i="4"/>
  <c r="L23" i="4"/>
  <c r="L45" i="4"/>
  <c r="L46" i="4"/>
  <c r="L47" i="4"/>
  <c r="T56" i="4"/>
  <c r="J47" i="4"/>
  <c r="T54" i="4"/>
  <c r="J23" i="4"/>
  <c r="J45" i="4"/>
  <c r="J46" i="4"/>
  <c r="T13" i="4"/>
  <c r="T28" i="4"/>
  <c r="T10" i="4"/>
  <c r="T43" i="4"/>
  <c r="H44" i="4"/>
  <c r="T44" i="4"/>
  <c r="T15" i="4"/>
  <c r="H22" i="4"/>
  <c r="H23" i="4"/>
  <c r="T22" i="4"/>
  <c r="H47" i="4"/>
  <c r="T51" i="4"/>
  <c r="T47" i="4"/>
  <c r="H45" i="4"/>
  <c r="T23" i="4"/>
  <c r="H46" i="4"/>
  <c r="T46" i="4"/>
  <c r="T45" i="4"/>
  <c r="V51" i="4"/>
  <c r="T67" i="4"/>
  <c r="J8" i="1"/>
  <c r="J9" i="1"/>
  <c r="J25" i="1"/>
  <c r="J26" i="1"/>
  <c r="J27" i="1"/>
  <c r="J29" i="1"/>
  <c r="P39" i="1"/>
  <c r="K8" i="1"/>
  <c r="K9" i="1"/>
  <c r="K25" i="1"/>
  <c r="K26" i="1"/>
  <c r="K27" i="1"/>
  <c r="K29" i="1"/>
  <c r="P40" i="1"/>
  <c r="L8" i="1"/>
  <c r="L9" i="1"/>
  <c r="L25" i="1"/>
  <c r="L26" i="1"/>
  <c r="L27" i="1"/>
  <c r="L29" i="1"/>
  <c r="P41" i="1"/>
  <c r="O8" i="1"/>
  <c r="O9" i="1"/>
  <c r="O25" i="1"/>
  <c r="O26" i="1"/>
  <c r="O27" i="1"/>
  <c r="O29" i="1"/>
  <c r="P42" i="1"/>
  <c r="N8" i="1"/>
  <c r="N9" i="1"/>
  <c r="N25" i="1"/>
  <c r="N26" i="1"/>
  <c r="N27" i="1"/>
  <c r="N29" i="1"/>
  <c r="P43" i="1"/>
  <c r="M8" i="1"/>
  <c r="M9" i="1"/>
  <c r="M25" i="1"/>
  <c r="M26" i="1"/>
  <c r="M27" i="1"/>
  <c r="M29" i="1"/>
  <c r="P44" i="1"/>
  <c r="I8" i="1"/>
  <c r="I9" i="1"/>
  <c r="I25" i="1"/>
  <c r="I26" i="1"/>
  <c r="I27" i="1"/>
  <c r="I29" i="1"/>
  <c r="P45" i="1"/>
  <c r="P8" i="1"/>
  <c r="P9" i="1"/>
  <c r="P25" i="1"/>
  <c r="P26" i="1"/>
  <c r="P27" i="1"/>
  <c r="P29" i="1"/>
  <c r="P46" i="1"/>
  <c r="P48" i="1"/>
  <c r="H8" i="1"/>
  <c r="H9" i="1"/>
  <c r="H25" i="1"/>
  <c r="H26" i="1"/>
  <c r="H27" i="1"/>
  <c r="H29" i="1"/>
  <c r="Q29" i="1"/>
  <c r="I9" i="2"/>
  <c r="I10" i="2"/>
  <c r="I26" i="2"/>
  <c r="I27" i="2"/>
  <c r="I28" i="2"/>
  <c r="I30" i="2"/>
  <c r="J9" i="2"/>
  <c r="J10" i="2"/>
  <c r="J26" i="2"/>
  <c r="J27" i="2"/>
  <c r="J28" i="2"/>
  <c r="J30" i="2"/>
  <c r="H9" i="2"/>
  <c r="H10" i="2"/>
  <c r="H26" i="2"/>
  <c r="H27" i="2"/>
  <c r="H28" i="2"/>
  <c r="H30" i="2"/>
  <c r="P55" i="3"/>
  <c r="O55" i="3"/>
  <c r="N55" i="3"/>
  <c r="P51" i="3"/>
  <c r="O51" i="3"/>
  <c r="N51" i="3"/>
  <c r="P48" i="3"/>
  <c r="O48" i="3"/>
  <c r="N48" i="3"/>
  <c r="P43" i="3"/>
  <c r="O43" i="3"/>
  <c r="N43" i="3"/>
  <c r="P39" i="3"/>
  <c r="O39" i="3"/>
  <c r="N39" i="3"/>
  <c r="P34" i="3"/>
  <c r="O34" i="3"/>
  <c r="N34" i="3"/>
  <c r="P30" i="3"/>
  <c r="O30" i="3"/>
  <c r="N30" i="3"/>
  <c r="O12" i="3"/>
  <c r="O13" i="3"/>
  <c r="O14" i="3"/>
  <c r="O15" i="3"/>
  <c r="P12" i="3"/>
  <c r="P13" i="3"/>
  <c r="P14" i="3"/>
  <c r="P15" i="3"/>
  <c r="N12" i="3"/>
  <c r="N13" i="3"/>
  <c r="N14" i="3"/>
  <c r="N15" i="3"/>
  <c r="O56" i="3"/>
  <c r="O57" i="3"/>
  <c r="O58" i="3"/>
  <c r="O59" i="3"/>
  <c r="O60" i="3"/>
  <c r="P56" i="3"/>
  <c r="P57" i="3"/>
  <c r="P58" i="3"/>
  <c r="P59" i="3"/>
  <c r="P60" i="3"/>
  <c r="N56" i="3"/>
  <c r="N57" i="3"/>
  <c r="N58" i="3"/>
  <c r="N59" i="3"/>
  <c r="N60" i="3"/>
  <c r="K26" i="2"/>
  <c r="K25" i="2"/>
  <c r="K24" i="2"/>
  <c r="K23" i="2"/>
  <c r="K22" i="2"/>
  <c r="K21" i="2"/>
  <c r="K20" i="2"/>
  <c r="K19" i="2"/>
  <c r="K18" i="2"/>
  <c r="K17" i="2"/>
  <c r="K16" i="2"/>
  <c r="K15" i="2"/>
  <c r="K9" i="2"/>
  <c r="I11" i="2"/>
  <c r="H11" i="2"/>
  <c r="K8" i="2"/>
  <c r="K7" i="2"/>
  <c r="K6" i="2"/>
  <c r="J11" i="2"/>
  <c r="J29" i="2"/>
  <c r="K10" i="2"/>
  <c r="I29" i="2"/>
  <c r="P10" i="1"/>
  <c r="P28" i="1"/>
  <c r="Q24" i="1"/>
  <c r="Q23" i="1"/>
  <c r="Q22" i="1"/>
  <c r="Q21" i="1"/>
  <c r="Q20" i="1"/>
  <c r="Q19" i="1"/>
  <c r="Q18" i="1"/>
  <c r="Q17" i="1"/>
  <c r="Q16" i="1"/>
  <c r="Q15" i="1"/>
  <c r="Q14" i="1"/>
  <c r="K10" i="1"/>
  <c r="K28" i="1"/>
  <c r="J10" i="1"/>
  <c r="J28" i="1"/>
  <c r="O10" i="1"/>
  <c r="O28" i="1"/>
  <c r="N10" i="1"/>
  <c r="M10" i="1"/>
  <c r="L10" i="1"/>
  <c r="I10" i="1"/>
  <c r="Q7" i="1"/>
  <c r="Q6" i="1"/>
  <c r="Q5" i="1"/>
  <c r="Q25" i="1"/>
  <c r="M28" i="1"/>
  <c r="L28" i="1"/>
  <c r="H10" i="1"/>
  <c r="H28" i="1"/>
  <c r="Q9" i="1"/>
  <c r="N28" i="1"/>
  <c r="I28" i="1"/>
  <c r="Q8" i="1"/>
  <c r="Q27" i="1"/>
  <c r="Q26" i="1"/>
  <c r="K27" i="2"/>
  <c r="K28" i="2"/>
  <c r="Q28" i="1"/>
  <c r="H29" i="2"/>
  <c r="K29" i="2"/>
</calcChain>
</file>

<file path=xl/sharedStrings.xml><?xml version="1.0" encoding="utf-8"?>
<sst xmlns="http://schemas.openxmlformats.org/spreadsheetml/2006/main" count="336" uniqueCount="149">
  <si>
    <t>TMC</t>
  </si>
  <si>
    <t>TMC-CONF</t>
  </si>
  <si>
    <t>TMC-IILABS-Metrics</t>
  </si>
  <si>
    <t>TMC-Kauai</t>
  </si>
  <si>
    <t>TMC Collab-Media Policy Project</t>
  </si>
  <si>
    <t>TMC Communications/Outreach</t>
  </si>
  <si>
    <t>TMC Meetings - Annual</t>
  </si>
  <si>
    <t>TMC Meetings - Coordinate. Com.</t>
  </si>
  <si>
    <t>TMC Vocus</t>
  </si>
  <si>
    <t>TOTAL</t>
  </si>
  <si>
    <t>Ordinary Income/Expense</t>
  </si>
  <si>
    <t>Income</t>
  </si>
  <si>
    <t>71 · Total TMC Income</t>
  </si>
  <si>
    <t>1714108 · TMC Membership Dues Income</t>
  </si>
  <si>
    <t>1714105 · TMC Services Income</t>
  </si>
  <si>
    <t>1714106 · TMC Conference Registration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</si>
  <si>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</si>
  <si>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</si>
  <si>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</si>
  <si>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</si>
  <si>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</si>
  <si>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</si>
  <si>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1715702 · TMC Personnel</t>
  </si>
  <si>
    <t>1715709 · TMC Website Fees</t>
  </si>
  <si>
    <t>1715750 · TMC Contractor</t>
  </si>
  <si>
    <t>1715760 · TMC Conference/seminars</t>
  </si>
  <si>
    <t>1715766 · TMC Software licensing</t>
  </si>
  <si>
    <t>1715769 · TMC Bank/Credit Fees</t>
  </si>
  <si>
    <t>1715772 · TMC Postage</t>
  </si>
  <si>
    <t>1715773 · TMC Travel</t>
  </si>
  <si>
    <t>1715774 · TMC Meals/Entertainment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</si>
  <si>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</si>
  <si>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</si>
  <si>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</si>
  <si>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</si>
  <si>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</si>
  <si>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</si>
  <si>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</si>
  <si>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Jan 15</t>
  </si>
  <si>
    <t>Feb 15</t>
  </si>
  <si>
    <t>Mar 15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</si>
  <si>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</si>
  <si>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</si>
  <si>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</si>
  <si>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</si>
  <si>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</si>
  <si>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</si>
  <si>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</si>
  <si>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</si>
  <si>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</si>
  <si>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Deposit</t>
  </si>
  <si>
    <t>22828</t>
  </si>
  <si>
    <t>The Nation Institute</t>
  </si>
  <si>
    <t>TMC Subscription</t>
  </si>
  <si>
    <t>14345</t>
  </si>
  <si>
    <t>Public News Service</t>
  </si>
  <si>
    <t>42932</t>
  </si>
  <si>
    <t>High Country News</t>
  </si>
  <si>
    <t>011832</t>
  </si>
  <si>
    <t>Care2.com, Inc.</t>
  </si>
  <si>
    <t>Oximity Limited</t>
  </si>
  <si>
    <t>2176</t>
  </si>
  <si>
    <t>Association of Alternative Newsmedia</t>
  </si>
  <si>
    <t>Total 1714105 · TMC Services Income</t>
  </si>
  <si>
    <t>General Journal</t>
  </si>
  <si>
    <t>7577R</t>
  </si>
  <si>
    <t>To Accrue Vacation for February 2015</t>
  </si>
  <si>
    <t>To Accrue Vacation PR Tax for February 2015</t>
  </si>
  <si>
    <t>7655</t>
  </si>
  <si>
    <t>To record payroll for period ending 03/15/2015</t>
  </si>
  <si>
    <t>To record payroll taxes for period ending 03/15/2015</t>
  </si>
  <si>
    <t>Bill</t>
  </si>
  <si>
    <t>Apr15 Dental/Vision</t>
  </si>
  <si>
    <t>Reliance Standard - Dental/Vision</t>
  </si>
  <si>
    <t>April 2015, Policy #136-7431</t>
  </si>
  <si>
    <t>7656</t>
  </si>
  <si>
    <t>To record payroll for period ending 03/31/2015</t>
  </si>
  <si>
    <t>To record payroll taxes for period ending 03/31/2015</t>
  </si>
  <si>
    <t>7659</t>
  </si>
  <si>
    <t>ProSight- To record workers comp expense for March</t>
  </si>
  <si>
    <t>7662</t>
  </si>
  <si>
    <t>Total 1715702 · TMC Personnel</t>
  </si>
  <si>
    <t>Amex - JGK</t>
  </si>
  <si>
    <t>American Express Corporation</t>
  </si>
  <si>
    <t>Hootsuite Media</t>
  </si>
  <si>
    <t>Laughing squid web hosting</t>
  </si>
  <si>
    <t>Total 1715709 · TMC Website Fees</t>
  </si>
  <si>
    <t>03132015</t>
  </si>
  <si>
    <t>Wilson, Theodore</t>
  </si>
  <si>
    <t>3/2 - 3/13/15 TMC Social Media Curator Svcs</t>
  </si>
  <si>
    <t>03202015</t>
  </si>
  <si>
    <t>Charlotin, Manolia</t>
  </si>
  <si>
    <t>Inv.03202015, 3/9 - 3/20</t>
  </si>
  <si>
    <t>03272015</t>
  </si>
  <si>
    <t>3/16 - 3/27/15 TMC Social Media Curator Svcs</t>
  </si>
  <si>
    <t>Total 1715750 · TMC Contractor</t>
  </si>
  <si>
    <t>Collabspace austin</t>
  </si>
  <si>
    <t>UT web txhop/knight center</t>
  </si>
  <si>
    <t>Total 1715760 · TMC Conference/seminars</t>
  </si>
  <si>
    <t>Survey monkey</t>
  </si>
  <si>
    <t>Basecamp</t>
  </si>
  <si>
    <t>Anymeeting-no recepits for monthly payments</t>
  </si>
  <si>
    <t>Total 1715766 · TMC Software licensing</t>
  </si>
  <si>
    <t>Amex annual fee</t>
  </si>
  <si>
    <t>Total 1715769 · TMC Bank/Credit Fees</t>
  </si>
  <si>
    <t>Delta</t>
  </si>
  <si>
    <t>Hotels.com</t>
  </si>
  <si>
    <t>Total 1715773 · TMC Travel</t>
  </si>
  <si>
    <t>STARTING GRANT BALANCE</t>
  </si>
  <si>
    <t>GROSS PROFIT</t>
  </si>
  <si>
    <t>GRANT BALANCE AT MONTH END</t>
  </si>
  <si>
    <t>GRANT BALANCE AS OF 3/31/2015</t>
  </si>
  <si>
    <t>UNRESTRICTED GRANT BALANCE</t>
  </si>
  <si>
    <t>RESTRICTED PROJECTS WITH FUNDS</t>
  </si>
  <si>
    <t>TMC Meetings Annual</t>
  </si>
  <si>
    <t>TMC-Communications/Outreach</t>
  </si>
  <si>
    <t>UNRESTRICTED GRANTS USED BY PROJECTS</t>
  </si>
  <si>
    <t>TMC-VOCUS</t>
  </si>
  <si>
    <r>
      <t xml:space="preserve"> </t>
    </r>
    <r>
      <rPr>
        <b/>
        <sz val="10"/>
        <color rgb="FFFF0000"/>
        <rFont val="Arial"/>
        <family val="2"/>
      </rPr>
      <t xml:space="preserve"> TOTAL Grant Balance as of 3/31/2015</t>
    </r>
  </si>
  <si>
    <t>Mother Jones Magazine</t>
  </si>
  <si>
    <t>Profit &amp; Loss - TMC</t>
  </si>
  <si>
    <t>January through December 2014</t>
  </si>
  <si>
    <t>TMC Repro Justice</t>
  </si>
  <si>
    <t>TMC What Counts</t>
  </si>
  <si>
    <t>TMC CJTI</t>
  </si>
  <si>
    <t>TMC-IILABS-LF Journal</t>
  </si>
  <si>
    <t>Total</t>
  </si>
  <si>
    <t>TMC Intern - House</t>
  </si>
  <si>
    <t>TMC Meetings - Regional</t>
  </si>
  <si>
    <t>GRANT BALANCE AS OF 01/01/2014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</si>
  <si>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</si>
  <si>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</si>
  <si>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</si>
  <si>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</si>
  <si>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</si>
  <si>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</si>
  <si>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</si>
  <si>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</si>
  <si>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1714107 · TMC Sponsorship Income</t>
  </si>
  <si>
    <t>1715701 · TMC Sponsorship Fee</t>
  </si>
  <si>
    <t>1715751 · TMC Contractor Reimbursement</t>
  </si>
  <si>
    <t>1715763 · TMC Hard/Software Non Cap</t>
  </si>
  <si>
    <t>1715768 · TMC Miscellaneous</t>
  </si>
  <si>
    <t>1715775 · TMC Registration Fees</t>
  </si>
  <si>
    <t>GRANT BALANCE AS OF 12/31/2014</t>
  </si>
  <si>
    <t>TMC CONF</t>
  </si>
  <si>
    <r>
      <t xml:space="preserve"> </t>
    </r>
    <r>
      <rPr>
        <b/>
        <sz val="10"/>
        <color rgb="FFFF0000"/>
        <rFont val="Arial"/>
        <family val="2"/>
      </rPr>
      <t xml:space="preserve"> TOTAL Grant Balance as of 12/31/2014</t>
    </r>
  </si>
  <si>
    <t xml:space="preserve">Reclass releases to projects :  </t>
  </si>
  <si>
    <t xml:space="preserve">Reclass personnel to projects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</si>
</sst>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mm/dd/yyyy"/>
  </numFmts>
  <fonts count="2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b/>
      <sz val="12"/>
      <color rgb="FF000080"/>
      <name val="Arial"/>
      <family val="2"/>
    </font>
    <font>
      <b/>
      <sz val="11"/>
      <color rgb="FF000000"/>
      <name val="Arial"/>
      <family val="2"/>
    </font>
    <font>
      <b/>
      <sz val="11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b/>
      <sz val="9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0">
    <xf numFmtId="0" fontId="0" fillId="0" borderId="0" xfId="0"/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0" fontId="3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164" fontId="5" fillId="0" borderId="5" xfId="0" applyNumberFormat="1" applyFont="1" applyBorder="1"/>
    <xf numFmtId="164" fontId="4" fillId="0" borderId="4" xfId="0" applyNumberFormat="1" applyFont="1" applyBorder="1"/>
    <xf numFmtId="0" fontId="4" fillId="0" borderId="0" xfId="0" applyFont="1"/>
    <xf numFmtId="0" fontId="3" fillId="0" borderId="0" xfId="0" applyNumberFormat="1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6" fillId="0" borderId="0" xfId="0" applyNumberFormat="1" applyFont="1"/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NumberFormat="1" applyFont="1"/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4" fontId="7" fillId="0" borderId="4" xfId="0" applyNumberFormat="1" applyFont="1" applyBorder="1"/>
    <xf numFmtId="0" fontId="8" fillId="0" borderId="0" xfId="0" applyNumberFormat="1" applyFont="1"/>
    <xf numFmtId="44" fontId="7" fillId="0" borderId="6" xfId="0" applyNumberFormat="1" applyFont="1" applyBorder="1"/>
    <xf numFmtId="42" fontId="7" fillId="0" borderId="0" xfId="0" applyNumberFormat="1" applyFont="1" applyBorder="1" applyAlignment="1">
      <alignment horizontal="center"/>
    </xf>
    <xf numFmtId="164" fontId="5" fillId="0" borderId="4" xfId="0" applyNumberFormat="1" applyFont="1" applyBorder="1"/>
    <xf numFmtId="0" fontId="3" fillId="0" borderId="6" xfId="0" applyNumberFormat="1" applyFont="1" applyBorder="1"/>
    <xf numFmtId="42" fontId="7" fillId="0" borderId="4" xfId="0" applyNumberFormat="1" applyFont="1" applyBorder="1"/>
    <xf numFmtId="164" fontId="5" fillId="0" borderId="7" xfId="0" applyNumberFormat="1" applyFont="1" applyBorder="1"/>
    <xf numFmtId="0" fontId="7" fillId="0" borderId="0" xfId="0" applyNumberFormat="1" applyFont="1"/>
    <xf numFmtId="44" fontId="9" fillId="0" borderId="8" xfId="0" applyNumberFormat="1" applyFont="1" applyBorder="1"/>
    <xf numFmtId="0" fontId="4" fillId="0" borderId="0" xfId="0" applyNumberFormat="1" applyFont="1" applyBorder="1"/>
    <xf numFmtId="44" fontId="6" fillId="0" borderId="9" xfId="2" applyFont="1" applyBorder="1"/>
    <xf numFmtId="44" fontId="6" fillId="0" borderId="10" xfId="2" applyFont="1" applyBorder="1"/>
    <xf numFmtId="0" fontId="6" fillId="0" borderId="11" xfId="0" applyFont="1" applyBorder="1"/>
    <xf numFmtId="0" fontId="4" fillId="0" borderId="12" xfId="0" applyNumberFormat="1" applyFont="1" applyBorder="1"/>
    <xf numFmtId="0" fontId="11" fillId="0" borderId="0" xfId="0" applyNumberFormat="1" applyFont="1" applyBorder="1" applyAlignment="1"/>
    <xf numFmtId="44" fontId="12" fillId="0" borderId="13" xfId="0" applyNumberFormat="1" applyFont="1" applyBorder="1"/>
    <xf numFmtId="0" fontId="6" fillId="0" borderId="13" xfId="0" applyFont="1" applyBorder="1"/>
    <xf numFmtId="0" fontId="5" fillId="0" borderId="12" xfId="0" applyNumberFormat="1" applyFont="1" applyBorder="1"/>
    <xf numFmtId="0" fontId="5" fillId="0" borderId="0" xfId="0" applyNumberFormat="1" applyFont="1" applyBorder="1"/>
    <xf numFmtId="44" fontId="6" fillId="0" borderId="13" xfId="0" applyNumberFormat="1" applyFont="1" applyBorder="1"/>
    <xf numFmtId="44" fontId="10" fillId="0" borderId="13" xfId="0" applyNumberFormat="1" applyFont="1" applyBorder="1"/>
    <xf numFmtId="44" fontId="7" fillId="0" borderId="13" xfId="0" applyNumberFormat="1" applyFont="1" applyBorder="1"/>
    <xf numFmtId="0" fontId="6" fillId="0" borderId="12" xfId="0" applyNumberFormat="1" applyFont="1" applyBorder="1"/>
    <xf numFmtId="0" fontId="6" fillId="0" borderId="0" xfId="0" applyNumberFormat="1" applyFont="1" applyBorder="1"/>
    <xf numFmtId="0" fontId="6" fillId="0" borderId="13" xfId="0" applyNumberFormat="1" applyFont="1" applyBorder="1"/>
    <xf numFmtId="0" fontId="6" fillId="0" borderId="14" xfId="0" applyNumberFormat="1" applyFont="1" applyBorder="1"/>
    <xf numFmtId="0" fontId="6" fillId="0" borderId="15" xfId="0" applyNumberFormat="1" applyFont="1" applyBorder="1"/>
    <xf numFmtId="0" fontId="4" fillId="0" borderId="15" xfId="0" applyNumberFormat="1" applyFont="1" applyBorder="1"/>
    <xf numFmtId="0" fontId="6" fillId="0" borderId="16" xfId="0" applyNumberFormat="1" applyFont="1" applyBorder="1"/>
    <xf numFmtId="0" fontId="3" fillId="0" borderId="0" xfId="0" applyNumberFormat="1" applyFont="1" applyBorder="1"/>
    <xf numFmtId="49" fontId="13" fillId="0" borderId="0" xfId="0" applyNumberFormat="1" applyFont="1" applyAlignment="1">
      <alignment horizontal="centerContinuous"/>
    </xf>
    <xf numFmtId="49" fontId="14" fillId="0" borderId="0" xfId="0" applyNumberFormat="1" applyFont="1" applyAlignment="1">
      <alignment horizontal="centerContinuous"/>
    </xf>
    <xf numFmtId="49" fontId="0" fillId="0" borderId="0" xfId="0" applyNumberFormat="1"/>
    <xf numFmtId="49" fontId="15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44" fontId="0" fillId="0" borderId="0" xfId="0" applyNumberFormat="1"/>
    <xf numFmtId="0" fontId="0" fillId="0" borderId="0" xfId="0" applyNumberFormat="1"/>
    <xf numFmtId="165" fontId="15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43" fontId="4" fillId="0" borderId="1" xfId="3" applyFont="1" applyBorder="1" applyAlignment="1">
      <alignment horizontal="right" wrapText="1"/>
    </xf>
    <xf numFmtId="49" fontId="18" fillId="0" borderId="1" xfId="0" applyNumberFormat="1" applyFont="1" applyBorder="1" applyAlignment="1">
      <alignment horizontal="center" wrapText="1"/>
    </xf>
    <xf numFmtId="49" fontId="19" fillId="0" borderId="0" xfId="0" applyNumberFormat="1" applyFont="1" applyBorder="1"/>
    <xf numFmtId="44" fontId="7" fillId="0" borderId="6" xfId="2" applyNumberFormat="1" applyFont="1" applyBorder="1"/>
    <xf numFmtId="44" fontId="7" fillId="0" borderId="6" xfId="2" applyFont="1" applyBorder="1"/>
    <xf numFmtId="49" fontId="14" fillId="0" borderId="0" xfId="0" applyNumberFormat="1" applyFont="1"/>
    <xf numFmtId="164" fontId="20" fillId="0" borderId="0" xfId="0" applyNumberFormat="1" applyFont="1"/>
    <xf numFmtId="164" fontId="20" fillId="0" borderId="0" xfId="0" applyNumberFormat="1" applyFont="1" applyBorder="1"/>
    <xf numFmtId="164" fontId="20" fillId="0" borderId="2" xfId="0" applyNumberFormat="1" applyFont="1" applyBorder="1"/>
    <xf numFmtId="164" fontId="20" fillId="0" borderId="3" xfId="0" applyNumberFormat="1" applyFont="1" applyBorder="1"/>
    <xf numFmtId="164" fontId="20" fillId="0" borderId="0" xfId="0" applyNumberFormat="1" applyFont="1" applyFill="1"/>
    <xf numFmtId="164" fontId="14" fillId="0" borderId="4" xfId="0" applyNumberFormat="1" applyFont="1" applyBorder="1"/>
    <xf numFmtId="0" fontId="14" fillId="0" borderId="0" xfId="0" applyFont="1"/>
    <xf numFmtId="0" fontId="14" fillId="0" borderId="0" xfId="0" applyNumberFormat="1" applyFont="1"/>
    <xf numFmtId="43" fontId="0" fillId="0" borderId="0" xfId="3" applyFont="1"/>
    <xf numFmtId="0" fontId="14" fillId="0" borderId="0" xfId="0" applyNumberFormat="1" applyFont="1" applyAlignment="1">
      <alignment horizontal="right"/>
    </xf>
    <xf numFmtId="44" fontId="21" fillId="0" borderId="13" xfId="0" applyNumberFormat="1" applyFont="1" applyBorder="1"/>
    <xf numFmtId="4" fontId="0" fillId="0" borderId="0" xfId="0" applyNumberFormat="1"/>
    <xf numFmtId="0" fontId="12" fillId="0" borderId="0" xfId="0" applyNumberFormat="1" applyFont="1" applyBorder="1"/>
    <xf numFmtId="0" fontId="22" fillId="0" borderId="12" xfId="0" applyNumberFormat="1" applyFont="1" applyBorder="1"/>
    <xf numFmtId="44" fontId="23" fillId="0" borderId="13" xfId="0" applyNumberFormat="1" applyFont="1" applyBorder="1"/>
    <xf numFmtId="0" fontId="0" fillId="0" borderId="0" xfId="0" applyNumberFormat="1" applyBorder="1"/>
    <xf numFmtId="0" fontId="0" fillId="0" borderId="0" xfId="0" applyBorder="1"/>
    <xf numFmtId="0" fontId="24" fillId="0" borderId="0" xfId="0" applyNumberFormat="1" applyFont="1"/>
    <xf numFmtId="0" fontId="24" fillId="0" borderId="0" xfId="0" applyNumberFormat="1" applyFont="1" applyAlignment="1">
      <alignment horizontal="right"/>
    </xf>
    <xf numFmtId="44" fontId="25" fillId="0" borderId="0" xfId="2" applyFont="1"/>
    <xf numFmtId="44" fontId="25" fillId="0" borderId="0" xfId="0" applyNumberFormat="1" applyFont="1"/>
    <xf numFmtId="0" fontId="25" fillId="0" borderId="0" xfId="0" applyNumberFormat="1" applyFont="1"/>
    <xf numFmtId="0" fontId="25" fillId="0" borderId="0" xfId="0" applyFont="1"/>
  </cellXfs>
  <cellStyles count="4">
    <cellStyle name="Comma" xfId="3" builtinId="3"/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546100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546100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ySplit="1" topLeftCell="A15" activePane="bottomLeft" state="frozen"/>
      <selection pane="bottomLeft" activeCell="S18" sqref="S18"/>
    </sheetView>
  </sheetViews>
  <sheetFormatPr baseColWidth="10" defaultColWidth="8.83203125" defaultRowHeight="14" x14ac:dyDescent="0"/>
  <cols>
    <col min="1" max="6" width="0.83203125" style="28" customWidth="1"/>
    <col min="7" max="7" width="37.6640625" style="28" customWidth="1"/>
    <col min="8" max="8" width="15.1640625" style="14" customWidth="1"/>
    <col min="9" max="9" width="14.6640625" style="14" customWidth="1"/>
    <col min="10" max="10" width="13.1640625" style="14" customWidth="1"/>
    <col min="11" max="11" width="11.6640625" style="14" customWidth="1"/>
    <col min="12" max="16384" width="8.83203125" style="5"/>
  </cols>
  <sheetData>
    <row r="1" spans="1:11" s="2" customFormat="1" ht="15" thickBot="1">
      <c r="A1" s="23"/>
      <c r="B1" s="23"/>
      <c r="C1" s="23"/>
      <c r="D1" s="23"/>
      <c r="E1" s="23"/>
      <c r="F1" s="23"/>
      <c r="G1" s="23"/>
      <c r="H1" s="1" t="s">
        <v>38</v>
      </c>
      <c r="I1" s="1" t="s">
        <v>39</v>
      </c>
      <c r="J1" s="1" t="s">
        <v>40</v>
      </c>
      <c r="K1" s="1" t="s">
        <v>9</v>
      </c>
    </row>
    <row r="2" spans="1:11" s="2" customFormat="1" ht="15" thickTop="1">
      <c r="A2" s="23"/>
      <c r="B2" s="23"/>
      <c r="C2" s="23"/>
      <c r="D2" s="23"/>
      <c r="E2" s="23"/>
      <c r="F2" s="23"/>
      <c r="G2" s="30" t="s">
        <v>108</v>
      </c>
      <c r="H2" s="34">
        <v>170054.05</v>
      </c>
      <c r="I2" s="34">
        <v>172595.51</v>
      </c>
      <c r="J2" s="34">
        <v>163518.85</v>
      </c>
      <c r="K2" s="29"/>
    </row>
    <row r="3" spans="1:11">
      <c r="A3" s="3"/>
      <c r="B3" s="3" t="s">
        <v>10</v>
      </c>
      <c r="C3" s="3"/>
      <c r="D3" s="3"/>
      <c r="E3" s="3"/>
      <c r="F3" s="3"/>
      <c r="G3" s="3"/>
      <c r="H3" s="7"/>
      <c r="I3" s="7"/>
      <c r="J3" s="7"/>
      <c r="K3" s="7"/>
    </row>
    <row r="4" spans="1:11">
      <c r="A4" s="3"/>
      <c r="B4" s="3"/>
      <c r="C4" s="3"/>
      <c r="D4" s="3" t="s">
        <v>11</v>
      </c>
      <c r="E4" s="3"/>
      <c r="F4" s="3"/>
      <c r="G4" s="3"/>
      <c r="H4" s="7"/>
      <c r="I4" s="7"/>
      <c r="J4" s="7"/>
      <c r="K4" s="7"/>
    </row>
    <row r="5" spans="1:11">
      <c r="A5" s="3"/>
      <c r="B5" s="3"/>
      <c r="C5" s="3"/>
      <c r="D5" s="3"/>
      <c r="E5" s="3" t="s">
        <v>12</v>
      </c>
      <c r="F5" s="3"/>
      <c r="G5" s="3"/>
      <c r="H5" s="7"/>
      <c r="I5" s="7"/>
      <c r="J5" s="7"/>
      <c r="K5" s="7"/>
    </row>
    <row r="6" spans="1:11">
      <c r="A6" s="3"/>
      <c r="B6" s="3"/>
      <c r="C6" s="3"/>
      <c r="D6" s="3"/>
      <c r="E6" s="3"/>
      <c r="F6" s="3" t="s">
        <v>13</v>
      </c>
      <c r="G6" s="3"/>
      <c r="H6" s="7">
        <v>9225</v>
      </c>
      <c r="I6" s="7">
        <v>0</v>
      </c>
      <c r="J6" s="7">
        <v>0</v>
      </c>
      <c r="K6" s="7">
        <f t="shared" ref="K6:K10" si="0">ROUND(SUM(H6:J6),5)</f>
        <v>9225</v>
      </c>
    </row>
    <row r="7" spans="1:11">
      <c r="A7" s="3"/>
      <c r="B7" s="3"/>
      <c r="C7" s="3"/>
      <c r="D7" s="3"/>
      <c r="E7" s="3"/>
      <c r="F7" s="3" t="s">
        <v>14</v>
      </c>
      <c r="G7" s="3"/>
      <c r="H7" s="7">
        <v>0</v>
      </c>
      <c r="I7" s="7">
        <v>0</v>
      </c>
      <c r="J7" s="7">
        <v>3600</v>
      </c>
      <c r="K7" s="7">
        <f t="shared" si="0"/>
        <v>3600</v>
      </c>
    </row>
    <row r="8" spans="1:11" ht="15" thickBot="1">
      <c r="A8" s="3"/>
      <c r="B8" s="3"/>
      <c r="C8" s="3"/>
      <c r="D8" s="3"/>
      <c r="E8" s="3"/>
      <c r="F8" s="3" t="s">
        <v>15</v>
      </c>
      <c r="G8" s="3"/>
      <c r="H8" s="8">
        <v>75</v>
      </c>
      <c r="I8" s="8">
        <v>0</v>
      </c>
      <c r="J8" s="8">
        <v>0</v>
      </c>
      <c r="K8" s="8">
        <f t="shared" si="0"/>
        <v>75</v>
      </c>
    </row>
    <row r="9" spans="1:11" ht="15" thickBot="1">
      <c r="A9" s="3"/>
      <c r="B9" s="3"/>
      <c r="C9" s="3"/>
      <c r="D9" s="3"/>
      <c r="E9" s="3" t="s">
        <v>16</v>
      </c>
      <c r="F9" s="3"/>
      <c r="G9" s="3"/>
      <c r="H9" s="9">
        <f>ROUND(SUM(H5:H8),5)</f>
        <v>9300</v>
      </c>
      <c r="I9" s="9">
        <f>ROUND(SUM(I5:I8),5)</f>
        <v>0</v>
      </c>
      <c r="J9" s="9">
        <f>ROUND(SUM(J5:J8),5)</f>
        <v>3600</v>
      </c>
      <c r="K9" s="9">
        <f t="shared" si="0"/>
        <v>12900</v>
      </c>
    </row>
    <row r="10" spans="1:11" ht="15" thickBot="1">
      <c r="A10" s="3"/>
      <c r="B10" s="3"/>
      <c r="C10" s="3"/>
      <c r="D10" s="3" t="s">
        <v>17</v>
      </c>
      <c r="E10" s="3"/>
      <c r="F10" s="3"/>
      <c r="G10" s="3"/>
      <c r="H10" s="10">
        <f>ROUND(H4+H9,5)</f>
        <v>9300</v>
      </c>
      <c r="I10" s="10">
        <f>ROUND(I4+I9,5)</f>
        <v>0</v>
      </c>
      <c r="J10" s="10">
        <f>ROUND(J4+J9,5)</f>
        <v>3600</v>
      </c>
      <c r="K10" s="10">
        <f t="shared" si="0"/>
        <v>12900</v>
      </c>
    </row>
    <row r="11" spans="1:11" ht="24" customHeight="1" thickBot="1">
      <c r="A11" s="3"/>
      <c r="B11" s="3"/>
      <c r="C11" s="3"/>
      <c r="D11" s="3"/>
      <c r="E11" s="3"/>
      <c r="F11" s="3"/>
      <c r="G11" s="30" t="s">
        <v>109</v>
      </c>
      <c r="H11" s="31">
        <f>H2+H10</f>
        <v>179354.05</v>
      </c>
      <c r="I11" s="31">
        <f t="shared" ref="I11:J11" si="1">I2+I10</f>
        <v>172595.51</v>
      </c>
      <c r="J11" s="31">
        <f t="shared" si="1"/>
        <v>167118.85</v>
      </c>
      <c r="K11" s="35"/>
    </row>
    <row r="12" spans="1:11" ht="24" customHeight="1" thickTop="1">
      <c r="A12" s="3"/>
      <c r="B12" s="3"/>
      <c r="C12" s="3"/>
      <c r="D12" s="3" t="s">
        <v>19</v>
      </c>
      <c r="E12" s="3"/>
      <c r="F12" s="3"/>
      <c r="G12" s="3"/>
      <c r="H12" s="7"/>
      <c r="I12" s="7"/>
      <c r="J12" s="7"/>
      <c r="K12" s="7"/>
    </row>
    <row r="13" spans="1:11" ht="21.5" customHeight="1">
      <c r="A13" s="3"/>
      <c r="B13" s="3"/>
      <c r="C13" s="3"/>
      <c r="D13" s="3"/>
      <c r="E13" s="3" t="s">
        <v>20</v>
      </c>
      <c r="F13" s="3"/>
      <c r="G13" s="3"/>
      <c r="H13" s="7"/>
      <c r="I13" s="7"/>
      <c r="J13" s="7"/>
      <c r="K13" s="7"/>
    </row>
    <row r="14" spans="1:11">
      <c r="A14" s="3"/>
      <c r="B14" s="3"/>
      <c r="C14" s="3"/>
      <c r="D14" s="3"/>
      <c r="E14" s="3"/>
      <c r="F14" s="3" t="s">
        <v>21</v>
      </c>
      <c r="G14" s="3"/>
      <c r="H14" s="7"/>
      <c r="I14" s="7"/>
      <c r="J14" s="7"/>
      <c r="K14" s="7"/>
    </row>
    <row r="15" spans="1:11">
      <c r="A15" s="3"/>
      <c r="B15" s="3"/>
      <c r="C15" s="3"/>
      <c r="D15" s="3"/>
      <c r="E15" s="3"/>
      <c r="F15" s="3"/>
      <c r="G15" s="3" t="s">
        <v>22</v>
      </c>
      <c r="H15" s="7">
        <v>4534.04</v>
      </c>
      <c r="I15" s="7">
        <v>5004.96</v>
      </c>
      <c r="J15" s="7">
        <v>4327.6400000000003</v>
      </c>
      <c r="K15" s="7">
        <f t="shared" ref="K15:K29" si="2">ROUND(SUM(H15:J15),5)</f>
        <v>13866.64</v>
      </c>
    </row>
    <row r="16" spans="1:11">
      <c r="A16" s="3"/>
      <c r="B16" s="3"/>
      <c r="C16" s="3"/>
      <c r="D16" s="3"/>
      <c r="E16" s="3"/>
      <c r="F16" s="3"/>
      <c r="G16" s="3" t="s">
        <v>23</v>
      </c>
      <c r="H16" s="7">
        <v>53.94</v>
      </c>
      <c r="I16" s="7">
        <v>23.99</v>
      </c>
      <c r="J16" s="7">
        <v>23.99</v>
      </c>
      <c r="K16" s="7">
        <f t="shared" si="2"/>
        <v>101.92</v>
      </c>
    </row>
    <row r="17" spans="1:11">
      <c r="A17" s="3"/>
      <c r="B17" s="3"/>
      <c r="C17" s="3"/>
      <c r="D17" s="3"/>
      <c r="E17" s="3"/>
      <c r="F17" s="3"/>
      <c r="G17" s="3" t="s">
        <v>24</v>
      </c>
      <c r="H17" s="7">
        <v>900</v>
      </c>
      <c r="I17" s="7">
        <v>650</v>
      </c>
      <c r="J17" s="7">
        <v>1475</v>
      </c>
      <c r="K17" s="7">
        <f t="shared" si="2"/>
        <v>3025</v>
      </c>
    </row>
    <row r="18" spans="1:11">
      <c r="A18" s="3"/>
      <c r="B18" s="3"/>
      <c r="C18" s="3"/>
      <c r="D18" s="3"/>
      <c r="E18" s="3"/>
      <c r="F18" s="3"/>
      <c r="G18" s="3" t="s">
        <v>25</v>
      </c>
      <c r="H18" s="7">
        <v>0</v>
      </c>
      <c r="I18" s="7">
        <v>0</v>
      </c>
      <c r="J18" s="7">
        <v>225.44</v>
      </c>
      <c r="K18" s="7">
        <f t="shared" si="2"/>
        <v>225.44</v>
      </c>
    </row>
    <row r="19" spans="1:11">
      <c r="A19" s="3"/>
      <c r="B19" s="3"/>
      <c r="C19" s="3"/>
      <c r="D19" s="3"/>
      <c r="E19" s="3"/>
      <c r="F19" s="3"/>
      <c r="G19" s="3" t="s">
        <v>26</v>
      </c>
      <c r="H19" s="7">
        <v>37.99</v>
      </c>
      <c r="I19" s="7">
        <v>37.99</v>
      </c>
      <c r="J19" s="7">
        <v>241.99</v>
      </c>
      <c r="K19" s="7">
        <f t="shared" si="2"/>
        <v>317.97000000000003</v>
      </c>
    </row>
    <row r="20" spans="1:11">
      <c r="A20" s="3"/>
      <c r="B20" s="3"/>
      <c r="C20" s="3"/>
      <c r="D20" s="3"/>
      <c r="E20" s="3"/>
      <c r="F20" s="3"/>
      <c r="G20" s="3" t="s">
        <v>27</v>
      </c>
      <c r="H20" s="7">
        <v>0</v>
      </c>
      <c r="I20" s="7">
        <v>0</v>
      </c>
      <c r="J20" s="7">
        <v>55</v>
      </c>
      <c r="K20" s="7">
        <f t="shared" si="2"/>
        <v>55</v>
      </c>
    </row>
    <row r="21" spans="1:11">
      <c r="A21" s="3"/>
      <c r="B21" s="3"/>
      <c r="C21" s="3"/>
      <c r="D21" s="3"/>
      <c r="E21" s="3"/>
      <c r="F21" s="3"/>
      <c r="G21" s="3" t="s">
        <v>28</v>
      </c>
      <c r="H21" s="7">
        <v>0.48</v>
      </c>
      <c r="I21" s="7">
        <v>0</v>
      </c>
      <c r="J21" s="7">
        <v>0</v>
      </c>
      <c r="K21" s="7">
        <f t="shared" si="2"/>
        <v>0.48</v>
      </c>
    </row>
    <row r="22" spans="1:11">
      <c r="A22" s="3"/>
      <c r="B22" s="3"/>
      <c r="C22" s="3"/>
      <c r="D22" s="3"/>
      <c r="E22" s="3"/>
      <c r="F22" s="3"/>
      <c r="G22" s="3" t="s">
        <v>29</v>
      </c>
      <c r="H22" s="7">
        <v>334.44</v>
      </c>
      <c r="I22" s="7">
        <v>500.5</v>
      </c>
      <c r="J22" s="7">
        <v>708.83</v>
      </c>
      <c r="K22" s="7">
        <f t="shared" si="2"/>
        <v>1543.77</v>
      </c>
    </row>
    <row r="23" spans="1:11">
      <c r="A23" s="3"/>
      <c r="B23" s="3"/>
      <c r="C23" s="3"/>
      <c r="D23" s="3"/>
      <c r="E23" s="3"/>
      <c r="F23" s="3"/>
      <c r="G23" s="3" t="s">
        <v>30</v>
      </c>
      <c r="H23" s="7">
        <v>0</v>
      </c>
      <c r="I23" s="7">
        <v>751.94</v>
      </c>
      <c r="J23" s="7">
        <v>0</v>
      </c>
      <c r="K23" s="7">
        <f t="shared" si="2"/>
        <v>751.94</v>
      </c>
    </row>
    <row r="24" spans="1:11">
      <c r="A24" s="3"/>
      <c r="B24" s="3"/>
      <c r="C24" s="3"/>
      <c r="D24" s="3"/>
      <c r="E24" s="3"/>
      <c r="F24" s="3"/>
      <c r="G24" s="3" t="s">
        <v>31</v>
      </c>
      <c r="H24" s="7">
        <v>897.65</v>
      </c>
      <c r="I24" s="7">
        <v>500</v>
      </c>
      <c r="J24" s="7">
        <v>0</v>
      </c>
      <c r="K24" s="7">
        <f t="shared" si="2"/>
        <v>1397.65</v>
      </c>
    </row>
    <row r="25" spans="1:11" ht="15" thickBot="1">
      <c r="A25" s="3"/>
      <c r="B25" s="3"/>
      <c r="C25" s="3"/>
      <c r="D25" s="3"/>
      <c r="E25" s="3"/>
      <c r="F25" s="3"/>
      <c r="G25" s="3" t="s">
        <v>32</v>
      </c>
      <c r="H25" s="8">
        <v>0</v>
      </c>
      <c r="I25" s="8">
        <v>1607.28</v>
      </c>
      <c r="J25" s="8">
        <v>0</v>
      </c>
      <c r="K25" s="8">
        <f t="shared" si="2"/>
        <v>1607.28</v>
      </c>
    </row>
    <row r="26" spans="1:11" ht="15" thickBot="1">
      <c r="A26" s="3"/>
      <c r="B26" s="3"/>
      <c r="C26" s="3"/>
      <c r="D26" s="3"/>
      <c r="E26" s="3"/>
      <c r="F26" s="3" t="s">
        <v>33</v>
      </c>
      <c r="G26" s="3"/>
      <c r="H26" s="9">
        <f>ROUND(SUM(H14:H25),5)</f>
        <v>6758.54</v>
      </c>
      <c r="I26" s="9">
        <f>ROUND(SUM(I14:I25),5)</f>
        <v>9076.66</v>
      </c>
      <c r="J26" s="9">
        <f>ROUND(SUM(J14:J25),5)</f>
        <v>7057.89</v>
      </c>
      <c r="K26" s="9">
        <f t="shared" si="2"/>
        <v>22893.09</v>
      </c>
    </row>
    <row r="27" spans="1:11" ht="15" thickBot="1">
      <c r="A27" s="3"/>
      <c r="B27" s="3"/>
      <c r="C27" s="3"/>
      <c r="D27" s="3"/>
      <c r="E27" s="3" t="s">
        <v>34</v>
      </c>
      <c r="F27" s="3"/>
      <c r="G27" s="3"/>
      <c r="H27" s="9">
        <f>ROUND(H13+H26,5)</f>
        <v>6758.54</v>
      </c>
      <c r="I27" s="9">
        <f>ROUND(I13+I26,5)</f>
        <v>9076.66</v>
      </c>
      <c r="J27" s="9">
        <f>ROUND(J13+J26,5)</f>
        <v>7057.89</v>
      </c>
      <c r="K27" s="9">
        <f t="shared" si="2"/>
        <v>22893.09</v>
      </c>
    </row>
    <row r="28" spans="1:11" ht="21" customHeight="1" thickBot="1">
      <c r="A28" s="3"/>
      <c r="B28" s="3"/>
      <c r="C28" s="3"/>
      <c r="D28" s="3" t="s">
        <v>35</v>
      </c>
      <c r="E28" s="3"/>
      <c r="F28" s="3"/>
      <c r="G28" s="3"/>
      <c r="H28" s="9">
        <f>ROUND(H12+H27,5)</f>
        <v>6758.54</v>
      </c>
      <c r="I28" s="9">
        <f>ROUND(I12+I27,5)</f>
        <v>9076.66</v>
      </c>
      <c r="J28" s="9">
        <f>ROUND(J12+J27,5)</f>
        <v>7057.89</v>
      </c>
      <c r="K28" s="9">
        <f t="shared" si="2"/>
        <v>22893.09</v>
      </c>
    </row>
    <row r="29" spans="1:11" ht="18.5" customHeight="1" thickBot="1">
      <c r="A29" s="3"/>
      <c r="B29" s="3" t="s">
        <v>37</v>
      </c>
      <c r="C29" s="3"/>
      <c r="D29" s="3"/>
      <c r="E29" s="3"/>
      <c r="F29" s="3"/>
      <c r="G29" s="3"/>
      <c r="H29" s="35">
        <f>ROUND(H3+H11-H28,5)</f>
        <v>172595.51</v>
      </c>
      <c r="I29" s="35">
        <f>ROUND(I3+I11-I28,5)</f>
        <v>163518.85</v>
      </c>
      <c r="J29" s="35">
        <f>ROUND(J3+J11-J28,5)</f>
        <v>160060.96</v>
      </c>
      <c r="K29" s="35">
        <f t="shared" si="2"/>
        <v>496175.32</v>
      </c>
    </row>
    <row r="30" spans="1:11" ht="26.5" customHeight="1" thickTop="1" thickBot="1">
      <c r="G30" s="32" t="s">
        <v>110</v>
      </c>
      <c r="H30" s="33">
        <f>H2+H10-H28</f>
        <v>172595.50999999998</v>
      </c>
      <c r="I30" s="33">
        <f t="shared" ref="I30:J30" si="3">I2+I10-I28</f>
        <v>163518.85</v>
      </c>
      <c r="J30" s="33">
        <f t="shared" si="3"/>
        <v>160060.96</v>
      </c>
      <c r="K30" s="36"/>
    </row>
    <row r="31" spans="1:11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Q52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T11" sqref="T11"/>
    </sheetView>
  </sheetViews>
  <sheetFormatPr baseColWidth="10" defaultColWidth="8.83203125" defaultRowHeight="14" x14ac:dyDescent="0"/>
  <cols>
    <col min="1" max="6" width="0.83203125" style="28" customWidth="1"/>
    <col min="7" max="7" width="36.83203125" style="28" customWidth="1"/>
    <col min="8" max="8" width="14" style="14" customWidth="1"/>
    <col min="9" max="9" width="11.83203125" style="14" customWidth="1"/>
    <col min="10" max="10" width="11.6640625" style="14" customWidth="1"/>
    <col min="11" max="11" width="11.83203125" style="14" customWidth="1"/>
    <col min="12" max="12" width="15.83203125" style="14" customWidth="1"/>
    <col min="13" max="13" width="15.33203125" style="14" customWidth="1"/>
    <col min="14" max="14" width="14.33203125" style="14" customWidth="1"/>
    <col min="15" max="15" width="13.83203125" style="14" customWidth="1"/>
    <col min="16" max="16" width="12.5" style="14" customWidth="1"/>
    <col min="17" max="17" width="13.1640625" style="14" customWidth="1"/>
    <col min="18" max="16384" width="8.83203125" style="5"/>
  </cols>
  <sheetData>
    <row r="1" spans="1:17" s="27" customFormat="1" ht="40.75" customHeight="1" thickBot="1">
      <c r="A1" s="25"/>
      <c r="B1" s="25"/>
      <c r="C1" s="25"/>
      <c r="D1" s="25"/>
      <c r="E1" s="25"/>
      <c r="F1" s="25"/>
      <c r="G1" s="25"/>
      <c r="H1" s="26" t="s">
        <v>0</v>
      </c>
      <c r="I1" s="26" t="s">
        <v>1</v>
      </c>
      <c r="J1" s="26" t="s">
        <v>2</v>
      </c>
      <c r="K1" s="26" t="s">
        <v>3</v>
      </c>
      <c r="L1" s="26" t="s">
        <v>4</v>
      </c>
      <c r="M1" s="26" t="s">
        <v>5</v>
      </c>
      <c r="N1" s="26" t="s">
        <v>6</v>
      </c>
      <c r="O1" s="26" t="s">
        <v>7</v>
      </c>
      <c r="P1" s="26" t="s">
        <v>8</v>
      </c>
      <c r="Q1" s="26" t="s">
        <v>9</v>
      </c>
    </row>
    <row r="2" spans="1:17" ht="16" thickTop="1" thickBot="1">
      <c r="A2" s="3"/>
      <c r="B2" s="3" t="s">
        <v>10</v>
      </c>
      <c r="C2" s="3"/>
      <c r="D2" s="3"/>
      <c r="E2" s="3"/>
      <c r="F2" s="3"/>
      <c r="G2" s="3"/>
      <c r="H2" s="31">
        <v>114813.45</v>
      </c>
      <c r="I2" s="31">
        <v>0</v>
      </c>
      <c r="J2" s="31">
        <v>52480.22</v>
      </c>
      <c r="K2" s="31">
        <v>2760.38</v>
      </c>
      <c r="L2" s="31">
        <v>0</v>
      </c>
      <c r="M2" s="31">
        <v>0</v>
      </c>
      <c r="N2" s="31">
        <v>0</v>
      </c>
      <c r="O2" s="31">
        <v>0</v>
      </c>
      <c r="P2" s="31">
        <v>0</v>
      </c>
      <c r="Q2" s="38"/>
    </row>
    <row r="3" spans="1:17" ht="15" thickTop="1">
      <c r="A3" s="3"/>
      <c r="B3" s="3"/>
      <c r="C3" s="3"/>
      <c r="D3" s="3" t="s">
        <v>11</v>
      </c>
      <c r="E3" s="3"/>
      <c r="F3" s="3"/>
      <c r="G3" s="3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>
      <c r="A4" s="3"/>
      <c r="B4" s="3"/>
      <c r="C4" s="3"/>
      <c r="D4" s="3"/>
      <c r="E4" s="3" t="s">
        <v>12</v>
      </c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>
      <c r="A5" s="3"/>
      <c r="B5" s="3"/>
      <c r="C5" s="3"/>
      <c r="D5" s="3"/>
      <c r="E5" s="3"/>
      <c r="F5" s="3" t="s">
        <v>13</v>
      </c>
      <c r="G5" s="3"/>
      <c r="H5" s="7">
        <v>9225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ref="Q5:Q9" si="0">ROUND(SUM(H5:P5),5)</f>
        <v>9225</v>
      </c>
    </row>
    <row r="6" spans="1:17">
      <c r="A6" s="3"/>
      <c r="B6" s="3"/>
      <c r="C6" s="3"/>
      <c r="D6" s="3"/>
      <c r="E6" s="3"/>
      <c r="F6" s="3" t="s">
        <v>14</v>
      </c>
      <c r="G6" s="3"/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3600</v>
      </c>
      <c r="Q6" s="7">
        <f t="shared" si="0"/>
        <v>3600</v>
      </c>
    </row>
    <row r="7" spans="1:17" ht="15" thickBot="1">
      <c r="A7" s="3"/>
      <c r="B7" s="3"/>
      <c r="C7" s="3"/>
      <c r="D7" s="3"/>
      <c r="E7" s="3"/>
      <c r="F7" s="3" t="s">
        <v>15</v>
      </c>
      <c r="G7" s="3"/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75</v>
      </c>
      <c r="O7" s="8">
        <v>0</v>
      </c>
      <c r="P7" s="8">
        <v>0</v>
      </c>
      <c r="Q7" s="8">
        <f t="shared" si="0"/>
        <v>75</v>
      </c>
    </row>
    <row r="8" spans="1:17" ht="15" thickBot="1">
      <c r="A8" s="3"/>
      <c r="B8" s="3"/>
      <c r="C8" s="3"/>
      <c r="D8" s="3"/>
      <c r="E8" s="3" t="s">
        <v>16</v>
      </c>
      <c r="F8" s="3"/>
      <c r="G8" s="3"/>
      <c r="H8" s="9">
        <f t="shared" ref="H8:P8" si="1">ROUND(SUM(H4:H7),5)</f>
        <v>9225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75</v>
      </c>
      <c r="O8" s="9">
        <f t="shared" si="1"/>
        <v>0</v>
      </c>
      <c r="P8" s="9">
        <f t="shared" si="1"/>
        <v>3600</v>
      </c>
      <c r="Q8" s="9">
        <f t="shared" si="0"/>
        <v>12900</v>
      </c>
    </row>
    <row r="9" spans="1:17" ht="16.25" customHeight="1" thickBot="1">
      <c r="A9" s="3"/>
      <c r="B9" s="3"/>
      <c r="C9" s="3"/>
      <c r="D9" s="3" t="s">
        <v>17</v>
      </c>
      <c r="E9" s="3"/>
      <c r="F9" s="3"/>
      <c r="G9" s="3"/>
      <c r="H9" s="10">
        <f t="shared" ref="H9:P9" si="2">ROUND(H3+H8,5)</f>
        <v>9225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0</v>
      </c>
      <c r="N9" s="10">
        <f t="shared" si="2"/>
        <v>75</v>
      </c>
      <c r="O9" s="10">
        <f t="shared" si="2"/>
        <v>0</v>
      </c>
      <c r="P9" s="10">
        <f t="shared" si="2"/>
        <v>3600</v>
      </c>
      <c r="Q9" s="10">
        <f t="shared" si="0"/>
        <v>12900</v>
      </c>
    </row>
    <row r="10" spans="1:17" ht="30" customHeight="1" thickBot="1">
      <c r="A10" s="3"/>
      <c r="B10" s="3"/>
      <c r="C10" s="3"/>
      <c r="D10" s="3"/>
      <c r="E10" s="3"/>
      <c r="F10" s="3"/>
      <c r="G10" s="30" t="s">
        <v>109</v>
      </c>
      <c r="H10" s="37">
        <f>H2+H9</f>
        <v>124038.45</v>
      </c>
      <c r="I10" s="37">
        <f t="shared" ref="I10:N10" si="3">I2+I9</f>
        <v>0</v>
      </c>
      <c r="J10" s="37">
        <f t="shared" si="3"/>
        <v>52480.22</v>
      </c>
      <c r="K10" s="37">
        <f t="shared" si="3"/>
        <v>2760.38</v>
      </c>
      <c r="L10" s="37">
        <f t="shared" si="3"/>
        <v>0</v>
      </c>
      <c r="M10" s="37">
        <f t="shared" si="3"/>
        <v>0</v>
      </c>
      <c r="N10" s="37">
        <f t="shared" si="3"/>
        <v>75</v>
      </c>
      <c r="O10" s="37">
        <f>O2+O9</f>
        <v>0</v>
      </c>
      <c r="P10" s="37">
        <f>P2+P9</f>
        <v>3600</v>
      </c>
      <c r="Q10" s="35"/>
    </row>
    <row r="11" spans="1:17" ht="30" customHeight="1" thickTop="1">
      <c r="A11" s="3"/>
      <c r="B11" s="3"/>
      <c r="C11" s="3"/>
      <c r="D11" s="3" t="s">
        <v>19</v>
      </c>
      <c r="E11" s="3"/>
      <c r="F11" s="3"/>
      <c r="G11" s="3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3"/>
      <c r="B12" s="3"/>
      <c r="C12" s="3"/>
      <c r="D12" s="3"/>
      <c r="E12" s="3" t="s">
        <v>20</v>
      </c>
      <c r="F12" s="3"/>
      <c r="G12" s="3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3"/>
      <c r="B13" s="3"/>
      <c r="C13" s="3"/>
      <c r="D13" s="3"/>
      <c r="E13" s="3"/>
      <c r="F13" s="3" t="s">
        <v>21</v>
      </c>
      <c r="G13" s="3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3"/>
      <c r="B14" s="3"/>
      <c r="C14" s="3"/>
      <c r="D14" s="3"/>
      <c r="E14" s="3"/>
      <c r="F14" s="3"/>
      <c r="G14" s="3" t="s">
        <v>22</v>
      </c>
      <c r="H14" s="7">
        <v>13866.64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ref="Q14:Q28" si="4">ROUND(SUM(H14:P14),5)</f>
        <v>13866.64</v>
      </c>
    </row>
    <row r="15" spans="1:17">
      <c r="A15" s="3"/>
      <c r="B15" s="3"/>
      <c r="C15" s="3"/>
      <c r="D15" s="3"/>
      <c r="E15" s="3"/>
      <c r="F15" s="3"/>
      <c r="G15" s="3" t="s">
        <v>23</v>
      </c>
      <c r="H15" s="7">
        <v>29.95</v>
      </c>
      <c r="I15" s="7">
        <v>0</v>
      </c>
      <c r="J15" s="7">
        <v>0</v>
      </c>
      <c r="K15" s="7">
        <v>0</v>
      </c>
      <c r="L15" s="7">
        <v>0</v>
      </c>
      <c r="M15" s="7">
        <v>71.97</v>
      </c>
      <c r="N15" s="7">
        <v>0</v>
      </c>
      <c r="O15" s="7">
        <v>0</v>
      </c>
      <c r="P15" s="7">
        <v>0</v>
      </c>
      <c r="Q15" s="7">
        <f t="shared" si="4"/>
        <v>101.92</v>
      </c>
    </row>
    <row r="16" spans="1:17">
      <c r="A16" s="3"/>
      <c r="B16" s="3"/>
      <c r="C16" s="3"/>
      <c r="D16" s="3"/>
      <c r="E16" s="3"/>
      <c r="F16" s="3"/>
      <c r="G16" s="3" t="s">
        <v>24</v>
      </c>
      <c r="H16" s="7">
        <v>0</v>
      </c>
      <c r="I16" s="7">
        <v>0</v>
      </c>
      <c r="J16" s="7">
        <v>875</v>
      </c>
      <c r="K16" s="7">
        <v>0</v>
      </c>
      <c r="L16" s="7">
        <v>0</v>
      </c>
      <c r="M16" s="7">
        <v>2100</v>
      </c>
      <c r="N16" s="7">
        <v>50</v>
      </c>
      <c r="O16" s="7">
        <v>0</v>
      </c>
      <c r="P16" s="7">
        <v>0</v>
      </c>
      <c r="Q16" s="7">
        <f t="shared" si="4"/>
        <v>3025</v>
      </c>
    </row>
    <row r="17" spans="1:17">
      <c r="A17" s="3"/>
      <c r="B17" s="3"/>
      <c r="C17" s="3"/>
      <c r="D17" s="3"/>
      <c r="E17" s="3"/>
      <c r="F17" s="3"/>
      <c r="G17" s="3" t="s">
        <v>25</v>
      </c>
      <c r="H17" s="7">
        <v>0</v>
      </c>
      <c r="I17" s="7">
        <v>0</v>
      </c>
      <c r="J17" s="7">
        <v>225.44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4"/>
        <v>225.44</v>
      </c>
    </row>
    <row r="18" spans="1:17">
      <c r="A18" s="3"/>
      <c r="B18" s="3"/>
      <c r="C18" s="3"/>
      <c r="D18" s="3"/>
      <c r="E18" s="3"/>
      <c r="F18" s="3"/>
      <c r="G18" s="3" t="s">
        <v>26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317.97000000000003</v>
      </c>
      <c r="N18" s="7">
        <v>0</v>
      </c>
      <c r="O18" s="7">
        <v>0</v>
      </c>
      <c r="P18" s="7">
        <v>0</v>
      </c>
      <c r="Q18" s="7">
        <f t="shared" si="4"/>
        <v>317.97000000000003</v>
      </c>
    </row>
    <row r="19" spans="1:17">
      <c r="A19" s="3"/>
      <c r="B19" s="3"/>
      <c r="C19" s="3"/>
      <c r="D19" s="3"/>
      <c r="E19" s="3"/>
      <c r="F19" s="3"/>
      <c r="G19" s="3" t="s">
        <v>27</v>
      </c>
      <c r="H19" s="7">
        <v>55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4"/>
        <v>55</v>
      </c>
    </row>
    <row r="20" spans="1:17">
      <c r="A20" s="3"/>
      <c r="B20" s="3"/>
      <c r="C20" s="3"/>
      <c r="D20" s="3"/>
      <c r="E20" s="3"/>
      <c r="F20" s="3"/>
      <c r="G20" s="3" t="s">
        <v>28</v>
      </c>
      <c r="H20" s="7">
        <v>0.48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4"/>
        <v>0.48</v>
      </c>
    </row>
    <row r="21" spans="1:17">
      <c r="A21" s="3"/>
      <c r="B21" s="3"/>
      <c r="C21" s="3"/>
      <c r="D21" s="3"/>
      <c r="E21" s="3"/>
      <c r="F21" s="3"/>
      <c r="G21" s="3" t="s">
        <v>29</v>
      </c>
      <c r="H21" s="7">
        <v>0</v>
      </c>
      <c r="I21" s="7">
        <v>500.5</v>
      </c>
      <c r="J21" s="7">
        <v>708.83</v>
      </c>
      <c r="K21" s="7">
        <v>0</v>
      </c>
      <c r="L21" s="7">
        <v>0</v>
      </c>
      <c r="M21" s="7">
        <v>0</v>
      </c>
      <c r="N21" s="7">
        <v>334.44</v>
      </c>
      <c r="O21" s="7">
        <v>0</v>
      </c>
      <c r="P21" s="7">
        <v>0</v>
      </c>
      <c r="Q21" s="7">
        <f t="shared" si="4"/>
        <v>1543.77</v>
      </c>
    </row>
    <row r="22" spans="1:17">
      <c r="A22" s="3"/>
      <c r="B22" s="3"/>
      <c r="C22" s="3"/>
      <c r="D22" s="3"/>
      <c r="E22" s="3"/>
      <c r="F22" s="3"/>
      <c r="G22" s="3" t="s">
        <v>30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451.94</v>
      </c>
      <c r="O22" s="7">
        <v>300</v>
      </c>
      <c r="P22" s="7">
        <v>0</v>
      </c>
      <c r="Q22" s="7">
        <f t="shared" si="4"/>
        <v>751.94</v>
      </c>
    </row>
    <row r="23" spans="1:17">
      <c r="A23" s="3"/>
      <c r="B23" s="3"/>
      <c r="C23" s="3"/>
      <c r="D23" s="3"/>
      <c r="E23" s="3"/>
      <c r="F23" s="3"/>
      <c r="G23" s="3" t="s">
        <v>31</v>
      </c>
      <c r="H23" s="7">
        <v>0</v>
      </c>
      <c r="I23" s="7">
        <v>0</v>
      </c>
      <c r="J23" s="7">
        <v>0</v>
      </c>
      <c r="K23" s="7">
        <v>897.65</v>
      </c>
      <c r="L23" s="7">
        <v>500</v>
      </c>
      <c r="M23" s="7">
        <v>0</v>
      </c>
      <c r="N23" s="7">
        <v>0</v>
      </c>
      <c r="O23" s="7">
        <v>0</v>
      </c>
      <c r="P23" s="7">
        <v>0</v>
      </c>
      <c r="Q23" s="7">
        <f t="shared" si="4"/>
        <v>1397.65</v>
      </c>
    </row>
    <row r="24" spans="1:17" ht="15" thickBot="1">
      <c r="A24" s="3"/>
      <c r="B24" s="3"/>
      <c r="C24" s="3"/>
      <c r="D24" s="3"/>
      <c r="E24" s="3"/>
      <c r="F24" s="3"/>
      <c r="G24" s="3" t="s">
        <v>32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1607.28</v>
      </c>
      <c r="O24" s="8">
        <v>0</v>
      </c>
      <c r="P24" s="8">
        <v>0</v>
      </c>
      <c r="Q24" s="8">
        <f t="shared" si="4"/>
        <v>1607.28</v>
      </c>
    </row>
    <row r="25" spans="1:17" ht="15" thickBot="1">
      <c r="A25" s="3"/>
      <c r="B25" s="3"/>
      <c r="C25" s="3"/>
      <c r="D25" s="3"/>
      <c r="E25" s="3"/>
      <c r="F25" s="3" t="s">
        <v>33</v>
      </c>
      <c r="G25" s="3"/>
      <c r="H25" s="9">
        <f t="shared" ref="H25:P25" si="5">ROUND(SUM(H13:H24),5)</f>
        <v>13952.07</v>
      </c>
      <c r="I25" s="9">
        <f t="shared" si="5"/>
        <v>500.5</v>
      </c>
      <c r="J25" s="9">
        <f t="shared" si="5"/>
        <v>1809.27</v>
      </c>
      <c r="K25" s="9">
        <f t="shared" si="5"/>
        <v>897.65</v>
      </c>
      <c r="L25" s="9">
        <f t="shared" si="5"/>
        <v>500</v>
      </c>
      <c r="M25" s="9">
        <f t="shared" si="5"/>
        <v>2489.94</v>
      </c>
      <c r="N25" s="9">
        <f t="shared" si="5"/>
        <v>2443.66</v>
      </c>
      <c r="O25" s="9">
        <f t="shared" si="5"/>
        <v>300</v>
      </c>
      <c r="P25" s="9">
        <f t="shared" si="5"/>
        <v>0</v>
      </c>
      <c r="Q25" s="9">
        <f t="shared" si="4"/>
        <v>22893.09</v>
      </c>
    </row>
    <row r="26" spans="1:17" ht="30" customHeight="1" thickBot="1">
      <c r="A26" s="3"/>
      <c r="B26" s="3"/>
      <c r="C26" s="3"/>
      <c r="D26" s="3"/>
      <c r="E26" s="3" t="s">
        <v>34</v>
      </c>
      <c r="F26" s="3"/>
      <c r="G26" s="3"/>
      <c r="H26" s="9">
        <f t="shared" ref="H26:P26" si="6">ROUND(H12+H25,5)</f>
        <v>13952.07</v>
      </c>
      <c r="I26" s="9">
        <f t="shared" si="6"/>
        <v>500.5</v>
      </c>
      <c r="J26" s="9">
        <f t="shared" si="6"/>
        <v>1809.27</v>
      </c>
      <c r="K26" s="9">
        <f t="shared" si="6"/>
        <v>897.65</v>
      </c>
      <c r="L26" s="9">
        <f t="shared" si="6"/>
        <v>500</v>
      </c>
      <c r="M26" s="9">
        <f t="shared" si="6"/>
        <v>2489.94</v>
      </c>
      <c r="N26" s="9">
        <f t="shared" si="6"/>
        <v>2443.66</v>
      </c>
      <c r="O26" s="9">
        <f t="shared" si="6"/>
        <v>300</v>
      </c>
      <c r="P26" s="9">
        <f t="shared" si="6"/>
        <v>0</v>
      </c>
      <c r="Q26" s="9">
        <f t="shared" si="4"/>
        <v>22893.09</v>
      </c>
    </row>
    <row r="27" spans="1:17" ht="30" customHeight="1" thickBot="1">
      <c r="A27" s="3"/>
      <c r="B27" s="3"/>
      <c r="C27" s="3"/>
      <c r="D27" s="3" t="s">
        <v>35</v>
      </c>
      <c r="E27" s="3"/>
      <c r="F27" s="3"/>
      <c r="G27" s="3"/>
      <c r="H27" s="9">
        <f t="shared" ref="H27:P27" si="7">ROUND(H11+H26,5)</f>
        <v>13952.07</v>
      </c>
      <c r="I27" s="9">
        <f t="shared" si="7"/>
        <v>500.5</v>
      </c>
      <c r="J27" s="9">
        <f t="shared" si="7"/>
        <v>1809.27</v>
      </c>
      <c r="K27" s="9">
        <f t="shared" si="7"/>
        <v>897.65</v>
      </c>
      <c r="L27" s="9">
        <f t="shared" si="7"/>
        <v>500</v>
      </c>
      <c r="M27" s="9">
        <f t="shared" si="7"/>
        <v>2489.94</v>
      </c>
      <c r="N27" s="9">
        <f t="shared" si="7"/>
        <v>2443.66</v>
      </c>
      <c r="O27" s="9">
        <f t="shared" si="7"/>
        <v>300</v>
      </c>
      <c r="P27" s="9">
        <f t="shared" si="7"/>
        <v>0</v>
      </c>
      <c r="Q27" s="9">
        <f t="shared" si="4"/>
        <v>22893.09</v>
      </c>
    </row>
    <row r="28" spans="1:17" ht="23.5" customHeight="1" thickBot="1">
      <c r="A28" s="3"/>
      <c r="B28" s="3" t="s">
        <v>37</v>
      </c>
      <c r="C28" s="3"/>
      <c r="D28" s="3"/>
      <c r="E28" s="3"/>
      <c r="F28" s="3"/>
      <c r="G28" s="3"/>
      <c r="H28" s="9">
        <f t="shared" ref="H28:N28" si="8">ROUND(H2+H10-H27,5)</f>
        <v>224899.83</v>
      </c>
      <c r="I28" s="9">
        <f t="shared" si="8"/>
        <v>-500.5</v>
      </c>
      <c r="J28" s="9">
        <f t="shared" si="8"/>
        <v>103151.17</v>
      </c>
      <c r="K28" s="9">
        <f t="shared" si="8"/>
        <v>4623.1099999999997</v>
      </c>
      <c r="L28" s="9">
        <f t="shared" si="8"/>
        <v>-500</v>
      </c>
      <c r="M28" s="9">
        <f t="shared" si="8"/>
        <v>-2489.94</v>
      </c>
      <c r="N28" s="9">
        <f t="shared" si="8"/>
        <v>-2368.66</v>
      </c>
      <c r="O28" s="9">
        <f>ROUND(O2+O10-O27,5)</f>
        <v>-300</v>
      </c>
      <c r="P28" s="9">
        <f>ROUND(P2+P10-P27,5)</f>
        <v>3600</v>
      </c>
      <c r="Q28" s="35">
        <f t="shared" si="4"/>
        <v>330115.01</v>
      </c>
    </row>
    <row r="29" spans="1:17" ht="18" customHeight="1" thickTop="1" thickBot="1">
      <c r="G29" s="39" t="s">
        <v>111</v>
      </c>
      <c r="H29" s="40">
        <f>H2+H9-H27</f>
        <v>110086.38</v>
      </c>
      <c r="I29" s="40">
        <f t="shared" ref="I29:P29" si="9">I2+I9-I27</f>
        <v>-500.5</v>
      </c>
      <c r="J29" s="40">
        <f t="shared" si="9"/>
        <v>50670.950000000004</v>
      </c>
      <c r="K29" s="40">
        <f t="shared" si="9"/>
        <v>1862.73</v>
      </c>
      <c r="L29" s="40">
        <f t="shared" si="9"/>
        <v>-500</v>
      </c>
      <c r="M29" s="40">
        <f t="shared" si="9"/>
        <v>-2489.94</v>
      </c>
      <c r="N29" s="40">
        <f t="shared" si="9"/>
        <v>-2368.66</v>
      </c>
      <c r="O29" s="40">
        <f t="shared" si="9"/>
        <v>-300</v>
      </c>
      <c r="P29" s="40">
        <f t="shared" si="9"/>
        <v>3600</v>
      </c>
      <c r="Q29" s="33">
        <f>SUM(H29:P29)</f>
        <v>160060.96000000002</v>
      </c>
    </row>
    <row r="30" spans="1:17" ht="15" thickTop="1"/>
    <row r="34" spans="13:16">
      <c r="M34" s="19"/>
      <c r="N34" s="19"/>
      <c r="O34" s="41"/>
      <c r="P34" s="19"/>
    </row>
    <row r="35" spans="13:16">
      <c r="M35" s="42"/>
      <c r="N35" s="43"/>
      <c r="O35" s="43"/>
      <c r="P35" s="44"/>
    </row>
    <row r="36" spans="13:16">
      <c r="M36" s="45" t="s">
        <v>112</v>
      </c>
      <c r="N36" s="41"/>
      <c r="O36" s="46"/>
      <c r="P36" s="47">
        <v>110086.38</v>
      </c>
    </row>
    <row r="37" spans="13:16">
      <c r="M37" s="45"/>
      <c r="N37" s="41"/>
      <c r="O37" s="41"/>
      <c r="P37" s="48"/>
    </row>
    <row r="38" spans="13:16">
      <c r="M38" s="45" t="s">
        <v>113</v>
      </c>
      <c r="N38" s="41"/>
      <c r="O38" s="41"/>
      <c r="P38" s="48"/>
    </row>
    <row r="39" spans="13:16">
      <c r="M39" s="49" t="s">
        <v>2</v>
      </c>
      <c r="N39" s="50"/>
      <c r="O39" s="50"/>
      <c r="P39" s="51">
        <f>J29</f>
        <v>50670.950000000004</v>
      </c>
    </row>
    <row r="40" spans="13:16">
      <c r="M40" s="49" t="s">
        <v>3</v>
      </c>
      <c r="N40" s="50"/>
      <c r="O40" s="50"/>
      <c r="P40" s="51">
        <f>K29</f>
        <v>1862.73</v>
      </c>
    </row>
    <row r="41" spans="13:16">
      <c r="M41" s="49" t="s">
        <v>4</v>
      </c>
      <c r="N41" s="50"/>
      <c r="O41" s="50"/>
      <c r="P41" s="52">
        <f>L29</f>
        <v>-500</v>
      </c>
    </row>
    <row r="42" spans="13:16">
      <c r="M42" s="49" t="s">
        <v>7</v>
      </c>
      <c r="N42" s="50"/>
      <c r="O42" s="50"/>
      <c r="P42" s="52">
        <f>O29</f>
        <v>-300</v>
      </c>
    </row>
    <row r="43" spans="13:16">
      <c r="M43" s="49" t="s">
        <v>114</v>
      </c>
      <c r="N43" s="50"/>
      <c r="O43" s="50"/>
      <c r="P43" s="52">
        <f>N29</f>
        <v>-2368.66</v>
      </c>
    </row>
    <row r="44" spans="13:16">
      <c r="M44" s="49" t="s">
        <v>115</v>
      </c>
      <c r="N44" s="50"/>
      <c r="O44" s="50"/>
      <c r="P44" s="52">
        <f>M29</f>
        <v>-2489.94</v>
      </c>
    </row>
    <row r="45" spans="13:16">
      <c r="M45" s="49" t="s">
        <v>1</v>
      </c>
      <c r="N45" s="50"/>
      <c r="O45" s="50"/>
      <c r="P45" s="52">
        <f>I29</f>
        <v>-500.5</v>
      </c>
    </row>
    <row r="46" spans="13:16">
      <c r="M46" s="49" t="s">
        <v>117</v>
      </c>
      <c r="N46" s="50"/>
      <c r="O46" s="50"/>
      <c r="P46" s="52">
        <f>P29</f>
        <v>3600</v>
      </c>
    </row>
    <row r="47" spans="13:16">
      <c r="M47" s="45" t="s">
        <v>116</v>
      </c>
      <c r="N47" s="41"/>
      <c r="O47" s="41"/>
      <c r="P47" s="51"/>
    </row>
    <row r="48" spans="13:16">
      <c r="M48" s="45" t="s">
        <v>118</v>
      </c>
      <c r="N48" s="41"/>
      <c r="O48" s="41"/>
      <c r="P48" s="53">
        <f>+SUM(P36:P47)</f>
        <v>160060.96000000002</v>
      </c>
    </row>
    <row r="49" spans="13:16">
      <c r="M49" s="54"/>
      <c r="N49" s="55"/>
      <c r="O49" s="55"/>
      <c r="P49" s="56"/>
    </row>
    <row r="50" spans="13:16">
      <c r="M50" s="54"/>
      <c r="N50" s="55"/>
      <c r="O50" s="41"/>
      <c r="P50" s="56"/>
    </row>
    <row r="51" spans="13:16">
      <c r="M51" s="57"/>
      <c r="N51" s="58"/>
      <c r="O51" s="59"/>
      <c r="P51" s="60"/>
    </row>
    <row r="52" spans="13:16">
      <c r="M52" s="61"/>
      <c r="N52" s="61"/>
      <c r="O52" s="61"/>
      <c r="P52" s="61"/>
    </row>
  </sheetData>
  <pageMargins left="0.7" right="0.7" top="0.75" bottom="0.75" header="0.25" footer="0.3"/>
  <pageSetup orientation="portrait"/>
  <headerFooter>
    <oddHeader>&amp;C&amp;"Arial,Bold"&amp;12 Mother Jones Magazine
&amp;"Arial,Bold"&amp;14 Profit &amp;&amp; Loss by Month
&amp;"Arial,Bold"&amp;10 January through March 2015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pane ySplit="1" topLeftCell="A2" activePane="bottomLeft" state="frozen"/>
      <selection pane="bottomLeft" activeCell="G31" sqref="G31"/>
    </sheetView>
  </sheetViews>
  <sheetFormatPr baseColWidth="10" defaultColWidth="8.83203125" defaultRowHeight="12" x14ac:dyDescent="0"/>
  <cols>
    <col min="1" max="6" width="0.83203125" style="19" customWidth="1"/>
    <col min="7" max="7" width="37.5" style="19" customWidth="1"/>
    <col min="8" max="8" width="11.83203125" style="19" bestFit="1" customWidth="1"/>
    <col min="9" max="9" width="10.1640625" style="22" bestFit="1" customWidth="1"/>
    <col min="10" max="10" width="14.83203125" style="19" bestFit="1" customWidth="1"/>
    <col min="11" max="11" width="28" style="19" bestFit="1" customWidth="1"/>
    <col min="12" max="12" width="30.6640625" style="19" customWidth="1"/>
    <col min="13" max="13" width="28.33203125" style="22" customWidth="1"/>
    <col min="14" max="14" width="9.1640625" style="19" bestFit="1" customWidth="1"/>
    <col min="15" max="15" width="8.1640625" style="19" bestFit="1" customWidth="1"/>
    <col min="16" max="16" width="8.83203125" style="19" bestFit="1" customWidth="1"/>
    <col min="17" max="16384" width="8.83203125" style="17"/>
  </cols>
  <sheetData>
    <row r="1" spans="1:16" s="16" customFormat="1" ht="13" thickBot="1">
      <c r="A1" s="15"/>
      <c r="B1" s="15"/>
      <c r="C1" s="15"/>
      <c r="D1" s="15"/>
      <c r="E1" s="15"/>
      <c r="F1" s="15"/>
      <c r="G1" s="15"/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</row>
    <row r="2" spans="1:16" ht="13" thickTop="1">
      <c r="A2" s="3"/>
      <c r="B2" s="3" t="s">
        <v>10</v>
      </c>
      <c r="C2" s="3"/>
      <c r="D2" s="3"/>
      <c r="E2" s="3"/>
      <c r="F2" s="3"/>
      <c r="G2" s="3"/>
      <c r="H2" s="3"/>
      <c r="I2" s="20"/>
      <c r="J2" s="3"/>
      <c r="K2" s="3"/>
      <c r="L2" s="3"/>
      <c r="M2" s="23"/>
      <c r="N2" s="4"/>
      <c r="O2" s="4"/>
      <c r="P2" s="4"/>
    </row>
    <row r="3" spans="1:16">
      <c r="A3" s="3"/>
      <c r="B3" s="3"/>
      <c r="C3" s="3"/>
      <c r="D3" s="3" t="s">
        <v>11</v>
      </c>
      <c r="E3" s="3"/>
      <c r="F3" s="3"/>
      <c r="G3" s="3"/>
      <c r="H3" s="3"/>
      <c r="I3" s="20"/>
      <c r="J3" s="3"/>
      <c r="K3" s="3"/>
      <c r="L3" s="3"/>
      <c r="M3" s="23"/>
      <c r="N3" s="4"/>
      <c r="O3" s="4"/>
      <c r="P3" s="4"/>
    </row>
    <row r="4" spans="1:16">
      <c r="A4" s="3"/>
      <c r="B4" s="3"/>
      <c r="C4" s="3"/>
      <c r="D4" s="3"/>
      <c r="E4" s="3" t="s">
        <v>12</v>
      </c>
      <c r="F4" s="3"/>
      <c r="G4" s="3"/>
      <c r="H4" s="3"/>
      <c r="I4" s="20"/>
      <c r="J4" s="3"/>
      <c r="K4" s="3"/>
      <c r="L4" s="3"/>
      <c r="M4" s="23"/>
      <c r="N4" s="4"/>
      <c r="O4" s="4"/>
      <c r="P4" s="4"/>
    </row>
    <row r="5" spans="1:16">
      <c r="A5" s="3"/>
      <c r="B5" s="3"/>
      <c r="C5" s="3"/>
      <c r="D5" s="3"/>
      <c r="E5" s="3"/>
      <c r="F5" s="3" t="s">
        <v>14</v>
      </c>
      <c r="G5" s="3"/>
      <c r="H5" s="3"/>
      <c r="I5" s="20"/>
      <c r="J5" s="3"/>
      <c r="K5" s="3"/>
      <c r="L5" s="3"/>
      <c r="M5" s="23"/>
      <c r="N5" s="4"/>
      <c r="O5" s="4"/>
      <c r="P5" s="4"/>
    </row>
    <row r="6" spans="1:16">
      <c r="A6" s="6"/>
      <c r="B6" s="6"/>
      <c r="C6" s="6"/>
      <c r="D6" s="6"/>
      <c r="E6" s="6"/>
      <c r="F6" s="6"/>
      <c r="G6" s="6"/>
      <c r="H6" s="6" t="s">
        <v>50</v>
      </c>
      <c r="I6" s="21">
        <v>42081</v>
      </c>
      <c r="J6" s="6" t="s">
        <v>51</v>
      </c>
      <c r="K6" s="6" t="s">
        <v>52</v>
      </c>
      <c r="L6" s="6" t="s">
        <v>53</v>
      </c>
      <c r="M6" s="24" t="s">
        <v>8</v>
      </c>
      <c r="N6" s="7"/>
      <c r="O6" s="7">
        <v>600</v>
      </c>
      <c r="P6" s="7">
        <v>600</v>
      </c>
    </row>
    <row r="7" spans="1:16">
      <c r="A7" s="6"/>
      <c r="B7" s="6"/>
      <c r="C7" s="6"/>
      <c r="D7" s="6"/>
      <c r="E7" s="6"/>
      <c r="F7" s="6"/>
      <c r="G7" s="6"/>
      <c r="H7" s="6" t="s">
        <v>50</v>
      </c>
      <c r="I7" s="21">
        <v>42081</v>
      </c>
      <c r="J7" s="6" t="s">
        <v>54</v>
      </c>
      <c r="K7" s="6" t="s">
        <v>55</v>
      </c>
      <c r="L7" s="6" t="s">
        <v>53</v>
      </c>
      <c r="M7" s="24" t="s">
        <v>8</v>
      </c>
      <c r="N7" s="7"/>
      <c r="O7" s="7">
        <v>600</v>
      </c>
      <c r="P7" s="7">
        <v>1200</v>
      </c>
    </row>
    <row r="8" spans="1:16">
      <c r="A8" s="6"/>
      <c r="B8" s="6"/>
      <c r="C8" s="6"/>
      <c r="D8" s="6"/>
      <c r="E8" s="6"/>
      <c r="F8" s="6"/>
      <c r="G8" s="6"/>
      <c r="H8" s="6" t="s">
        <v>50</v>
      </c>
      <c r="I8" s="21">
        <v>42086</v>
      </c>
      <c r="J8" s="6" t="s">
        <v>56</v>
      </c>
      <c r="K8" s="6" t="s">
        <v>57</v>
      </c>
      <c r="L8" s="6" t="s">
        <v>53</v>
      </c>
      <c r="M8" s="24" t="s">
        <v>8</v>
      </c>
      <c r="N8" s="7"/>
      <c r="O8" s="7">
        <v>600</v>
      </c>
      <c r="P8" s="7">
        <v>1800</v>
      </c>
    </row>
    <row r="9" spans="1:16">
      <c r="A9" s="6"/>
      <c r="B9" s="6"/>
      <c r="C9" s="6"/>
      <c r="D9" s="6"/>
      <c r="E9" s="6"/>
      <c r="F9" s="6"/>
      <c r="G9" s="6"/>
      <c r="H9" s="6" t="s">
        <v>50</v>
      </c>
      <c r="I9" s="21">
        <v>42086</v>
      </c>
      <c r="J9" s="6" t="s">
        <v>58</v>
      </c>
      <c r="K9" s="6" t="s">
        <v>59</v>
      </c>
      <c r="L9" s="6" t="s">
        <v>53</v>
      </c>
      <c r="M9" s="24" t="s">
        <v>8</v>
      </c>
      <c r="N9" s="7"/>
      <c r="O9" s="7">
        <v>600</v>
      </c>
      <c r="P9" s="7">
        <v>2400</v>
      </c>
    </row>
    <row r="10" spans="1:16">
      <c r="A10" s="6"/>
      <c r="B10" s="6"/>
      <c r="C10" s="6"/>
      <c r="D10" s="6"/>
      <c r="E10" s="6"/>
      <c r="F10" s="6"/>
      <c r="G10" s="6"/>
      <c r="H10" s="6" t="s">
        <v>50</v>
      </c>
      <c r="I10" s="21">
        <v>42093</v>
      </c>
      <c r="J10" s="6"/>
      <c r="K10" s="6" t="s">
        <v>60</v>
      </c>
      <c r="L10" s="6" t="s">
        <v>53</v>
      </c>
      <c r="M10" s="24" t="s">
        <v>8</v>
      </c>
      <c r="N10" s="7"/>
      <c r="O10" s="7">
        <v>600</v>
      </c>
      <c r="P10" s="7">
        <v>3000</v>
      </c>
    </row>
    <row r="11" spans="1:16" ht="13" thickBot="1">
      <c r="A11" s="6"/>
      <c r="B11" s="6"/>
      <c r="C11" s="6"/>
      <c r="D11" s="6"/>
      <c r="E11" s="6"/>
      <c r="F11" s="6"/>
      <c r="G11" s="6"/>
      <c r="H11" s="6" t="s">
        <v>50</v>
      </c>
      <c r="I11" s="21">
        <v>42094</v>
      </c>
      <c r="J11" s="6" t="s">
        <v>61</v>
      </c>
      <c r="K11" s="6" t="s">
        <v>62</v>
      </c>
      <c r="L11" s="6" t="s">
        <v>53</v>
      </c>
      <c r="M11" s="24" t="s">
        <v>8</v>
      </c>
      <c r="N11" s="8"/>
      <c r="O11" s="8">
        <v>600</v>
      </c>
      <c r="P11" s="8">
        <v>3600</v>
      </c>
    </row>
    <row r="12" spans="1:16" ht="13" thickBot="1">
      <c r="A12" s="6"/>
      <c r="B12" s="6"/>
      <c r="C12" s="6"/>
      <c r="D12" s="6"/>
      <c r="E12" s="6"/>
      <c r="F12" s="6" t="s">
        <v>63</v>
      </c>
      <c r="G12" s="6"/>
      <c r="H12" s="6"/>
      <c r="I12" s="21"/>
      <c r="J12" s="6"/>
      <c r="K12" s="6"/>
      <c r="L12" s="6"/>
      <c r="M12" s="24"/>
      <c r="N12" s="9">
        <f>ROUND(SUM(N5:N11),5)</f>
        <v>0</v>
      </c>
      <c r="O12" s="9">
        <f>ROUND(SUM(O5:O11),5)</f>
        <v>3600</v>
      </c>
      <c r="P12" s="9">
        <f>P11</f>
        <v>3600</v>
      </c>
    </row>
    <row r="13" spans="1:16" ht="30" customHeight="1" thickBot="1">
      <c r="A13" s="6"/>
      <c r="B13" s="6"/>
      <c r="C13" s="6"/>
      <c r="D13" s="6"/>
      <c r="E13" s="6" t="s">
        <v>16</v>
      </c>
      <c r="F13" s="6"/>
      <c r="G13" s="6"/>
      <c r="H13" s="6"/>
      <c r="I13" s="21"/>
      <c r="J13" s="6"/>
      <c r="K13" s="6"/>
      <c r="L13" s="6"/>
      <c r="M13" s="24"/>
      <c r="N13" s="9">
        <f t="shared" ref="N13:O15" si="0">N12</f>
        <v>0</v>
      </c>
      <c r="O13" s="9">
        <f t="shared" si="0"/>
        <v>3600</v>
      </c>
      <c r="P13" s="9">
        <f>P12</f>
        <v>3600</v>
      </c>
    </row>
    <row r="14" spans="1:16" ht="30" customHeight="1" thickBot="1">
      <c r="A14" s="6"/>
      <c r="B14" s="6"/>
      <c r="C14" s="6"/>
      <c r="D14" s="6" t="s">
        <v>17</v>
      </c>
      <c r="E14" s="6"/>
      <c r="F14" s="6"/>
      <c r="G14" s="6"/>
      <c r="H14" s="6"/>
      <c r="I14" s="21"/>
      <c r="J14" s="6"/>
      <c r="K14" s="6"/>
      <c r="L14" s="6"/>
      <c r="M14" s="24"/>
      <c r="N14" s="10">
        <f t="shared" si="0"/>
        <v>0</v>
      </c>
      <c r="O14" s="10">
        <f t="shared" si="0"/>
        <v>3600</v>
      </c>
      <c r="P14" s="10">
        <f>P13</f>
        <v>3600</v>
      </c>
    </row>
    <row r="15" spans="1:16" ht="30" customHeight="1">
      <c r="A15" s="6"/>
      <c r="B15" s="6"/>
      <c r="C15" s="6" t="s">
        <v>18</v>
      </c>
      <c r="D15" s="6"/>
      <c r="E15" s="6"/>
      <c r="F15" s="6"/>
      <c r="G15" s="6"/>
      <c r="H15" s="6"/>
      <c r="I15" s="21"/>
      <c r="J15" s="6"/>
      <c r="K15" s="6"/>
      <c r="L15" s="6"/>
      <c r="M15" s="24"/>
      <c r="N15" s="7">
        <f t="shared" si="0"/>
        <v>0</v>
      </c>
      <c r="O15" s="7">
        <f t="shared" si="0"/>
        <v>3600</v>
      </c>
      <c r="P15" s="7">
        <f>P14</f>
        <v>3600</v>
      </c>
    </row>
    <row r="16" spans="1:16" ht="30" customHeight="1">
      <c r="A16" s="3"/>
      <c r="B16" s="3"/>
      <c r="C16" s="3"/>
      <c r="D16" s="3" t="s">
        <v>19</v>
      </c>
      <c r="E16" s="3"/>
      <c r="F16" s="3"/>
      <c r="G16" s="3"/>
      <c r="H16" s="3"/>
      <c r="I16" s="20"/>
      <c r="J16" s="3"/>
      <c r="K16" s="3"/>
      <c r="L16" s="3"/>
      <c r="M16" s="23"/>
      <c r="N16" s="4"/>
      <c r="O16" s="4"/>
      <c r="P16" s="4"/>
    </row>
    <row r="17" spans="1:16">
      <c r="A17" s="3"/>
      <c r="B17" s="3"/>
      <c r="C17" s="3"/>
      <c r="D17" s="3"/>
      <c r="E17" s="3" t="s">
        <v>20</v>
      </c>
      <c r="F17" s="3"/>
      <c r="G17" s="3"/>
      <c r="H17" s="3"/>
      <c r="I17" s="20"/>
      <c r="J17" s="3"/>
      <c r="K17" s="3"/>
      <c r="L17" s="3"/>
      <c r="M17" s="23"/>
      <c r="N17" s="4"/>
      <c r="O17" s="4"/>
      <c r="P17" s="4"/>
    </row>
    <row r="18" spans="1:16">
      <c r="A18" s="3"/>
      <c r="B18" s="3"/>
      <c r="C18" s="3"/>
      <c r="D18" s="3"/>
      <c r="E18" s="3"/>
      <c r="F18" s="3" t="s">
        <v>21</v>
      </c>
      <c r="G18" s="3"/>
      <c r="H18" s="3"/>
      <c r="I18" s="20"/>
      <c r="J18" s="3"/>
      <c r="K18" s="3"/>
      <c r="L18" s="3"/>
      <c r="M18" s="23"/>
      <c r="N18" s="4"/>
      <c r="O18" s="4"/>
      <c r="P18" s="4"/>
    </row>
    <row r="19" spans="1:16">
      <c r="A19" s="3"/>
      <c r="B19" s="3"/>
      <c r="C19" s="3"/>
      <c r="D19" s="3"/>
      <c r="E19" s="3"/>
      <c r="F19" s="3"/>
      <c r="G19" s="3" t="s">
        <v>22</v>
      </c>
      <c r="H19" s="3"/>
      <c r="I19" s="20"/>
      <c r="J19" s="3"/>
      <c r="K19" s="3"/>
      <c r="L19" s="3"/>
      <c r="M19" s="23"/>
      <c r="N19" s="4"/>
      <c r="O19" s="4"/>
      <c r="P19" s="4"/>
    </row>
    <row r="20" spans="1:16">
      <c r="A20" s="6"/>
      <c r="B20" s="6"/>
      <c r="C20" s="6"/>
      <c r="D20" s="6"/>
      <c r="E20" s="6"/>
      <c r="F20" s="6"/>
      <c r="G20" s="6"/>
      <c r="H20" s="6" t="s">
        <v>64</v>
      </c>
      <c r="I20" s="21">
        <v>42064</v>
      </c>
      <c r="J20" s="6" t="s">
        <v>65</v>
      </c>
      <c r="K20" s="6"/>
      <c r="L20" s="6" t="s">
        <v>66</v>
      </c>
      <c r="M20" s="24" t="s">
        <v>0</v>
      </c>
      <c r="N20" s="7"/>
      <c r="O20" s="7">
        <v>3846</v>
      </c>
      <c r="P20" s="7">
        <v>-3846</v>
      </c>
    </row>
    <row r="21" spans="1:16">
      <c r="A21" s="6"/>
      <c r="B21" s="6"/>
      <c r="C21" s="6"/>
      <c r="D21" s="6"/>
      <c r="E21" s="6"/>
      <c r="F21" s="6"/>
      <c r="G21" s="6"/>
      <c r="H21" s="6" t="s">
        <v>64</v>
      </c>
      <c r="I21" s="21">
        <v>42064</v>
      </c>
      <c r="J21" s="6" t="s">
        <v>65</v>
      </c>
      <c r="K21" s="6"/>
      <c r="L21" s="6" t="s">
        <v>67</v>
      </c>
      <c r="M21" s="24" t="s">
        <v>0</v>
      </c>
      <c r="N21" s="7"/>
      <c r="O21" s="7">
        <v>294.22000000000003</v>
      </c>
      <c r="P21" s="7">
        <v>-4140.22</v>
      </c>
    </row>
    <row r="22" spans="1:16">
      <c r="A22" s="6"/>
      <c r="B22" s="6"/>
      <c r="C22" s="6"/>
      <c r="D22" s="6"/>
      <c r="E22" s="6"/>
      <c r="F22" s="6"/>
      <c r="G22" s="6"/>
      <c r="H22" s="6" t="s">
        <v>64</v>
      </c>
      <c r="I22" s="21">
        <v>42078</v>
      </c>
      <c r="J22" s="6" t="s">
        <v>68</v>
      </c>
      <c r="K22" s="6"/>
      <c r="L22" s="6" t="s">
        <v>69</v>
      </c>
      <c r="M22" s="24" t="s">
        <v>0</v>
      </c>
      <c r="N22" s="7">
        <v>2083.34</v>
      </c>
      <c r="O22" s="7"/>
      <c r="P22" s="7">
        <v>-2056.88</v>
      </c>
    </row>
    <row r="23" spans="1:16">
      <c r="A23" s="6"/>
      <c r="B23" s="6"/>
      <c r="C23" s="6"/>
      <c r="D23" s="6"/>
      <c r="E23" s="6"/>
      <c r="F23" s="6"/>
      <c r="G23" s="6"/>
      <c r="H23" s="6" t="s">
        <v>64</v>
      </c>
      <c r="I23" s="21">
        <v>42078</v>
      </c>
      <c r="J23" s="6" t="s">
        <v>68</v>
      </c>
      <c r="K23" s="6"/>
      <c r="L23" s="6" t="s">
        <v>70</v>
      </c>
      <c r="M23" s="24" t="s">
        <v>0</v>
      </c>
      <c r="N23" s="7">
        <v>159.38</v>
      </c>
      <c r="O23" s="7"/>
      <c r="P23" s="7">
        <v>-1897.5</v>
      </c>
    </row>
    <row r="24" spans="1:16">
      <c r="A24" s="6"/>
      <c r="B24" s="6"/>
      <c r="C24" s="6"/>
      <c r="D24" s="6"/>
      <c r="E24" s="6"/>
      <c r="F24" s="6"/>
      <c r="G24" s="6"/>
      <c r="H24" s="6" t="s">
        <v>71</v>
      </c>
      <c r="I24" s="21">
        <v>42079</v>
      </c>
      <c r="J24" s="6" t="s">
        <v>72</v>
      </c>
      <c r="K24" s="6" t="s">
        <v>73</v>
      </c>
      <c r="L24" s="6" t="s">
        <v>74</v>
      </c>
      <c r="M24" s="24" t="s">
        <v>0</v>
      </c>
      <c r="N24" s="7">
        <v>50.4</v>
      </c>
      <c r="O24" s="7"/>
      <c r="P24" s="7">
        <v>-1847.1</v>
      </c>
    </row>
    <row r="25" spans="1:16">
      <c r="A25" s="6"/>
      <c r="B25" s="6"/>
      <c r="C25" s="6"/>
      <c r="D25" s="6"/>
      <c r="E25" s="6"/>
      <c r="F25" s="6"/>
      <c r="G25" s="6"/>
      <c r="H25" s="6" t="s">
        <v>64</v>
      </c>
      <c r="I25" s="21">
        <v>42094</v>
      </c>
      <c r="J25" s="6" t="s">
        <v>75</v>
      </c>
      <c r="K25" s="6"/>
      <c r="L25" s="6" t="s">
        <v>76</v>
      </c>
      <c r="M25" s="24" t="s">
        <v>0</v>
      </c>
      <c r="N25" s="7">
        <v>2083.34</v>
      </c>
      <c r="O25" s="7"/>
      <c r="P25" s="7">
        <v>236.24</v>
      </c>
    </row>
    <row r="26" spans="1:16">
      <c r="A26" s="6"/>
      <c r="B26" s="6"/>
      <c r="C26" s="6"/>
      <c r="D26" s="6"/>
      <c r="E26" s="6"/>
      <c r="F26" s="6"/>
      <c r="G26" s="6"/>
      <c r="H26" s="6" t="s">
        <v>64</v>
      </c>
      <c r="I26" s="21">
        <v>42094</v>
      </c>
      <c r="J26" s="6" t="s">
        <v>75</v>
      </c>
      <c r="K26" s="6"/>
      <c r="L26" s="6" t="s">
        <v>77</v>
      </c>
      <c r="M26" s="24" t="s">
        <v>0</v>
      </c>
      <c r="N26" s="7">
        <v>159.38</v>
      </c>
      <c r="O26" s="7"/>
      <c r="P26" s="7">
        <v>395.62</v>
      </c>
    </row>
    <row r="27" spans="1:16">
      <c r="A27" s="6"/>
      <c r="B27" s="6"/>
      <c r="C27" s="6"/>
      <c r="D27" s="6"/>
      <c r="E27" s="6"/>
      <c r="F27" s="6"/>
      <c r="G27" s="6"/>
      <c r="H27" s="6" t="s">
        <v>64</v>
      </c>
      <c r="I27" s="21">
        <v>42094</v>
      </c>
      <c r="J27" s="6" t="s">
        <v>78</v>
      </c>
      <c r="K27" s="6"/>
      <c r="L27" s="6" t="s">
        <v>79</v>
      </c>
      <c r="M27" s="24" t="s">
        <v>0</v>
      </c>
      <c r="N27" s="7">
        <v>33.31</v>
      </c>
      <c r="O27" s="7"/>
      <c r="P27" s="7">
        <v>428.93</v>
      </c>
    </row>
    <row r="28" spans="1:16">
      <c r="A28" s="6"/>
      <c r="B28" s="6"/>
      <c r="C28" s="6"/>
      <c r="D28" s="6"/>
      <c r="E28" s="6"/>
      <c r="F28" s="6"/>
      <c r="G28" s="6"/>
      <c r="H28" s="6" t="s">
        <v>64</v>
      </c>
      <c r="I28" s="21">
        <v>42094</v>
      </c>
      <c r="J28" s="6" t="s">
        <v>80</v>
      </c>
      <c r="K28" s="6"/>
      <c r="L28" s="6" t="s">
        <v>66</v>
      </c>
      <c r="M28" s="24" t="s">
        <v>0</v>
      </c>
      <c r="N28" s="7">
        <v>3621.65</v>
      </c>
      <c r="O28" s="7"/>
      <c r="P28" s="7">
        <v>4050.58</v>
      </c>
    </row>
    <row r="29" spans="1:16" ht="13" thickBot="1">
      <c r="A29" s="6"/>
      <c r="B29" s="6"/>
      <c r="C29" s="6"/>
      <c r="D29" s="6"/>
      <c r="E29" s="6"/>
      <c r="F29" s="6"/>
      <c r="G29" s="6"/>
      <c r="H29" s="6" t="s">
        <v>64</v>
      </c>
      <c r="I29" s="21">
        <v>42094</v>
      </c>
      <c r="J29" s="6" t="s">
        <v>80</v>
      </c>
      <c r="K29" s="6"/>
      <c r="L29" s="6" t="s">
        <v>67</v>
      </c>
      <c r="M29" s="24" t="s">
        <v>0</v>
      </c>
      <c r="N29" s="11">
        <v>277.06</v>
      </c>
      <c r="O29" s="11"/>
      <c r="P29" s="11">
        <v>4327.6400000000003</v>
      </c>
    </row>
    <row r="30" spans="1:16">
      <c r="A30" s="6"/>
      <c r="B30" s="6"/>
      <c r="C30" s="6"/>
      <c r="D30" s="6"/>
      <c r="E30" s="6"/>
      <c r="F30" s="6"/>
      <c r="G30" s="6" t="s">
        <v>81</v>
      </c>
      <c r="H30" s="6"/>
      <c r="I30" s="21"/>
      <c r="J30" s="6"/>
      <c r="K30" s="6"/>
      <c r="L30" s="6"/>
      <c r="M30" s="24"/>
      <c r="N30" s="7">
        <f>ROUND(SUM(N19:N29),5)</f>
        <v>8467.86</v>
      </c>
      <c r="O30" s="7">
        <f>ROUND(SUM(O19:O29),5)</f>
        <v>4140.22</v>
      </c>
      <c r="P30" s="7">
        <f>P29</f>
        <v>4327.6400000000003</v>
      </c>
    </row>
    <row r="31" spans="1:16" ht="30" customHeight="1">
      <c r="A31" s="3"/>
      <c r="B31" s="3"/>
      <c r="C31" s="3"/>
      <c r="D31" s="3"/>
      <c r="E31" s="3"/>
      <c r="F31" s="3"/>
      <c r="G31" s="3" t="s">
        <v>23</v>
      </c>
      <c r="H31" s="3"/>
      <c r="I31" s="20"/>
      <c r="J31" s="3"/>
      <c r="K31" s="3"/>
      <c r="L31" s="3"/>
      <c r="M31" s="23"/>
      <c r="N31" s="4"/>
      <c r="O31" s="4"/>
      <c r="P31" s="4"/>
    </row>
    <row r="32" spans="1:16">
      <c r="A32" s="6"/>
      <c r="B32" s="6"/>
      <c r="C32" s="6"/>
      <c r="D32" s="6"/>
      <c r="E32" s="6"/>
      <c r="F32" s="6"/>
      <c r="G32" s="6"/>
      <c r="H32" s="6" t="s">
        <v>71</v>
      </c>
      <c r="I32" s="21">
        <v>42090</v>
      </c>
      <c r="J32" s="6" t="s">
        <v>82</v>
      </c>
      <c r="K32" s="6" t="s">
        <v>83</v>
      </c>
      <c r="L32" s="6" t="s">
        <v>84</v>
      </c>
      <c r="M32" s="24" t="s">
        <v>5</v>
      </c>
      <c r="N32" s="7">
        <v>5.99</v>
      </c>
      <c r="O32" s="7"/>
      <c r="P32" s="7">
        <v>5.99</v>
      </c>
    </row>
    <row r="33" spans="1:16" ht="13" thickBot="1">
      <c r="A33" s="6"/>
      <c r="B33" s="6"/>
      <c r="C33" s="6"/>
      <c r="D33" s="6"/>
      <c r="E33" s="6"/>
      <c r="F33" s="6"/>
      <c r="G33" s="6"/>
      <c r="H33" s="6" t="s">
        <v>71</v>
      </c>
      <c r="I33" s="21">
        <v>42090</v>
      </c>
      <c r="J33" s="6" t="s">
        <v>82</v>
      </c>
      <c r="K33" s="6" t="s">
        <v>83</v>
      </c>
      <c r="L33" s="6" t="s">
        <v>85</v>
      </c>
      <c r="M33" s="24" t="s">
        <v>5</v>
      </c>
      <c r="N33" s="11">
        <v>18</v>
      </c>
      <c r="O33" s="11"/>
      <c r="P33" s="11">
        <v>23.99</v>
      </c>
    </row>
    <row r="34" spans="1:16">
      <c r="A34" s="6"/>
      <c r="B34" s="6"/>
      <c r="C34" s="6"/>
      <c r="D34" s="6"/>
      <c r="E34" s="6"/>
      <c r="F34" s="6"/>
      <c r="G34" s="6" t="s">
        <v>86</v>
      </c>
      <c r="H34" s="6"/>
      <c r="I34" s="21"/>
      <c r="J34" s="6"/>
      <c r="K34" s="6"/>
      <c r="L34" s="6"/>
      <c r="M34" s="24"/>
      <c r="N34" s="7">
        <f>ROUND(SUM(N31:N33),5)</f>
        <v>23.99</v>
      </c>
      <c r="O34" s="7">
        <f>ROUND(SUM(O31:O33),5)</f>
        <v>0</v>
      </c>
      <c r="P34" s="7">
        <f>P33</f>
        <v>23.99</v>
      </c>
    </row>
    <row r="35" spans="1:16" ht="30" customHeight="1">
      <c r="A35" s="3"/>
      <c r="B35" s="3"/>
      <c r="C35" s="3"/>
      <c r="D35" s="3"/>
      <c r="E35" s="3"/>
      <c r="F35" s="3"/>
      <c r="G35" s="3" t="s">
        <v>24</v>
      </c>
      <c r="H35" s="3"/>
      <c r="I35" s="20"/>
      <c r="J35" s="3"/>
      <c r="K35" s="3"/>
      <c r="L35" s="3"/>
      <c r="M35" s="23"/>
      <c r="N35" s="4"/>
      <c r="O35" s="4"/>
      <c r="P35" s="4"/>
    </row>
    <row r="36" spans="1:16">
      <c r="A36" s="6"/>
      <c r="B36" s="6"/>
      <c r="C36" s="6"/>
      <c r="D36" s="6"/>
      <c r="E36" s="6"/>
      <c r="F36" s="6"/>
      <c r="G36" s="6"/>
      <c r="H36" s="6" t="s">
        <v>71</v>
      </c>
      <c r="I36" s="21">
        <v>42076</v>
      </c>
      <c r="J36" s="6" t="s">
        <v>87</v>
      </c>
      <c r="K36" s="6" t="s">
        <v>88</v>
      </c>
      <c r="L36" s="6" t="s">
        <v>89</v>
      </c>
      <c r="M36" s="24" t="s">
        <v>5</v>
      </c>
      <c r="N36" s="7">
        <v>300</v>
      </c>
      <c r="O36" s="7"/>
      <c r="P36" s="7">
        <v>300</v>
      </c>
    </row>
    <row r="37" spans="1:16">
      <c r="A37" s="6"/>
      <c r="B37" s="6"/>
      <c r="C37" s="6"/>
      <c r="D37" s="6"/>
      <c r="E37" s="6"/>
      <c r="F37" s="6"/>
      <c r="G37" s="6"/>
      <c r="H37" s="6" t="s">
        <v>71</v>
      </c>
      <c r="I37" s="21">
        <v>42083</v>
      </c>
      <c r="J37" s="6" t="s">
        <v>90</v>
      </c>
      <c r="K37" s="6" t="s">
        <v>91</v>
      </c>
      <c r="L37" s="6" t="s">
        <v>92</v>
      </c>
      <c r="M37" s="24" t="s">
        <v>2</v>
      </c>
      <c r="N37" s="7">
        <v>875</v>
      </c>
      <c r="O37" s="7"/>
      <c r="P37" s="7">
        <v>1175</v>
      </c>
    </row>
    <row r="38" spans="1:16" ht="13" thickBot="1">
      <c r="A38" s="6"/>
      <c r="B38" s="6"/>
      <c r="C38" s="6"/>
      <c r="D38" s="6"/>
      <c r="E38" s="6"/>
      <c r="F38" s="6"/>
      <c r="G38" s="6"/>
      <c r="H38" s="6" t="s">
        <v>71</v>
      </c>
      <c r="I38" s="21">
        <v>42090</v>
      </c>
      <c r="J38" s="6" t="s">
        <v>93</v>
      </c>
      <c r="K38" s="6" t="s">
        <v>88</v>
      </c>
      <c r="L38" s="6" t="s">
        <v>94</v>
      </c>
      <c r="M38" s="24" t="s">
        <v>5</v>
      </c>
      <c r="N38" s="11">
        <v>300</v>
      </c>
      <c r="O38" s="11"/>
      <c r="P38" s="11">
        <v>1475</v>
      </c>
    </row>
    <row r="39" spans="1:16">
      <c r="A39" s="6"/>
      <c r="B39" s="6"/>
      <c r="C39" s="6"/>
      <c r="D39" s="6"/>
      <c r="E39" s="6"/>
      <c r="F39" s="6"/>
      <c r="G39" s="6" t="s">
        <v>95</v>
      </c>
      <c r="H39" s="6"/>
      <c r="I39" s="21"/>
      <c r="J39" s="6"/>
      <c r="K39" s="6"/>
      <c r="L39" s="6"/>
      <c r="M39" s="24"/>
      <c r="N39" s="7">
        <f>ROUND(SUM(N35:N38),5)</f>
        <v>1475</v>
      </c>
      <c r="O39" s="7">
        <f>ROUND(SUM(O35:O38),5)</f>
        <v>0</v>
      </c>
      <c r="P39" s="7">
        <f>P38</f>
        <v>1475</v>
      </c>
    </row>
    <row r="40" spans="1:16" ht="30" customHeight="1">
      <c r="A40" s="3"/>
      <c r="B40" s="3"/>
      <c r="C40" s="3"/>
      <c r="D40" s="3"/>
      <c r="E40" s="3"/>
      <c r="F40" s="3"/>
      <c r="G40" s="3" t="s">
        <v>25</v>
      </c>
      <c r="H40" s="3"/>
      <c r="I40" s="20"/>
      <c r="J40" s="3"/>
      <c r="K40" s="3"/>
      <c r="L40" s="3"/>
      <c r="M40" s="23"/>
      <c r="N40" s="4"/>
      <c r="O40" s="4"/>
      <c r="P40" s="4"/>
    </row>
    <row r="41" spans="1:16">
      <c r="A41" s="6"/>
      <c r="B41" s="6"/>
      <c r="C41" s="6"/>
      <c r="D41" s="6"/>
      <c r="E41" s="6"/>
      <c r="F41" s="6"/>
      <c r="G41" s="6"/>
      <c r="H41" s="6" t="s">
        <v>71</v>
      </c>
      <c r="I41" s="21">
        <v>42090</v>
      </c>
      <c r="J41" s="6" t="s">
        <v>82</v>
      </c>
      <c r="K41" s="6" t="s">
        <v>83</v>
      </c>
      <c r="L41" s="6" t="s">
        <v>96</v>
      </c>
      <c r="M41" s="24" t="s">
        <v>2</v>
      </c>
      <c r="N41" s="7">
        <v>105.44</v>
      </c>
      <c r="O41" s="7"/>
      <c r="P41" s="7">
        <v>105.44</v>
      </c>
    </row>
    <row r="42" spans="1:16" ht="13" thickBot="1">
      <c r="A42" s="6"/>
      <c r="B42" s="6"/>
      <c r="C42" s="6"/>
      <c r="D42" s="6"/>
      <c r="E42" s="6"/>
      <c r="F42" s="6"/>
      <c r="G42" s="6"/>
      <c r="H42" s="6" t="s">
        <v>71</v>
      </c>
      <c r="I42" s="21">
        <v>42090</v>
      </c>
      <c r="J42" s="6" t="s">
        <v>82</v>
      </c>
      <c r="K42" s="6" t="s">
        <v>83</v>
      </c>
      <c r="L42" s="6" t="s">
        <v>97</v>
      </c>
      <c r="M42" s="24" t="s">
        <v>2</v>
      </c>
      <c r="N42" s="11">
        <v>120</v>
      </c>
      <c r="O42" s="11"/>
      <c r="P42" s="11">
        <v>225.44</v>
      </c>
    </row>
    <row r="43" spans="1:16">
      <c r="A43" s="6"/>
      <c r="B43" s="6"/>
      <c r="C43" s="6"/>
      <c r="D43" s="6"/>
      <c r="E43" s="6"/>
      <c r="F43" s="6"/>
      <c r="G43" s="6" t="s">
        <v>98</v>
      </c>
      <c r="H43" s="6"/>
      <c r="I43" s="21"/>
      <c r="J43" s="6"/>
      <c r="K43" s="6"/>
      <c r="L43" s="6"/>
      <c r="M43" s="24"/>
      <c r="N43" s="7">
        <f>ROUND(SUM(N40:N42),5)</f>
        <v>225.44</v>
      </c>
      <c r="O43" s="7">
        <f>ROUND(SUM(O40:O42),5)</f>
        <v>0</v>
      </c>
      <c r="P43" s="7">
        <f>P42</f>
        <v>225.44</v>
      </c>
    </row>
    <row r="44" spans="1:16" ht="30" customHeight="1">
      <c r="A44" s="3"/>
      <c r="B44" s="3"/>
      <c r="C44" s="3"/>
      <c r="D44" s="3"/>
      <c r="E44" s="3"/>
      <c r="F44" s="3"/>
      <c r="G44" s="3" t="s">
        <v>26</v>
      </c>
      <c r="H44" s="3"/>
      <c r="I44" s="20"/>
      <c r="J44" s="3"/>
      <c r="K44" s="3"/>
      <c r="L44" s="3"/>
      <c r="M44" s="23"/>
      <c r="N44" s="4"/>
      <c r="O44" s="4"/>
      <c r="P44" s="4"/>
    </row>
    <row r="45" spans="1:16">
      <c r="A45" s="6"/>
      <c r="B45" s="6"/>
      <c r="C45" s="6"/>
      <c r="D45" s="6"/>
      <c r="E45" s="6"/>
      <c r="F45" s="6"/>
      <c r="G45" s="6"/>
      <c r="H45" s="6" t="s">
        <v>71</v>
      </c>
      <c r="I45" s="21">
        <v>42090</v>
      </c>
      <c r="J45" s="6" t="s">
        <v>82</v>
      </c>
      <c r="K45" s="6" t="s">
        <v>83</v>
      </c>
      <c r="L45" s="6" t="s">
        <v>99</v>
      </c>
      <c r="M45" s="24" t="s">
        <v>5</v>
      </c>
      <c r="N45" s="7">
        <v>204</v>
      </c>
      <c r="O45" s="7"/>
      <c r="P45" s="7">
        <v>204</v>
      </c>
    </row>
    <row r="46" spans="1:16">
      <c r="A46" s="6"/>
      <c r="B46" s="6"/>
      <c r="C46" s="6"/>
      <c r="D46" s="6"/>
      <c r="E46" s="6"/>
      <c r="F46" s="6"/>
      <c r="G46" s="6"/>
      <c r="H46" s="6" t="s">
        <v>71</v>
      </c>
      <c r="I46" s="21">
        <v>42090</v>
      </c>
      <c r="J46" s="6" t="s">
        <v>82</v>
      </c>
      <c r="K46" s="6" t="s">
        <v>83</v>
      </c>
      <c r="L46" s="6" t="s">
        <v>100</v>
      </c>
      <c r="M46" s="24" t="s">
        <v>5</v>
      </c>
      <c r="N46" s="7">
        <v>20</v>
      </c>
      <c r="O46" s="7"/>
      <c r="P46" s="7">
        <v>224</v>
      </c>
    </row>
    <row r="47" spans="1:16" ht="13" thickBot="1">
      <c r="A47" s="6"/>
      <c r="B47" s="6"/>
      <c r="C47" s="6"/>
      <c r="D47" s="6"/>
      <c r="E47" s="6"/>
      <c r="F47" s="6"/>
      <c r="G47" s="6"/>
      <c r="H47" s="6" t="s">
        <v>71</v>
      </c>
      <c r="I47" s="21">
        <v>42090</v>
      </c>
      <c r="J47" s="6" t="s">
        <v>82</v>
      </c>
      <c r="K47" s="6" t="s">
        <v>83</v>
      </c>
      <c r="L47" s="6" t="s">
        <v>101</v>
      </c>
      <c r="M47" s="24" t="s">
        <v>5</v>
      </c>
      <c r="N47" s="11">
        <v>17.989999999999998</v>
      </c>
      <c r="O47" s="11"/>
      <c r="P47" s="11">
        <v>241.99</v>
      </c>
    </row>
    <row r="48" spans="1:16">
      <c r="A48" s="6"/>
      <c r="B48" s="6"/>
      <c r="C48" s="6"/>
      <c r="D48" s="6"/>
      <c r="E48" s="6"/>
      <c r="F48" s="6"/>
      <c r="G48" s="6" t="s">
        <v>102</v>
      </c>
      <c r="H48" s="6"/>
      <c r="I48" s="21"/>
      <c r="J48" s="6"/>
      <c r="K48" s="6"/>
      <c r="L48" s="6"/>
      <c r="M48" s="24"/>
      <c r="N48" s="7">
        <f>ROUND(SUM(N44:N47),5)</f>
        <v>241.99</v>
      </c>
      <c r="O48" s="7">
        <f>ROUND(SUM(O44:O47),5)</f>
        <v>0</v>
      </c>
      <c r="P48" s="7">
        <f>P47</f>
        <v>241.99</v>
      </c>
    </row>
    <row r="49" spans="1:16" ht="30" customHeight="1">
      <c r="A49" s="3"/>
      <c r="B49" s="3"/>
      <c r="C49" s="3"/>
      <c r="D49" s="3"/>
      <c r="E49" s="3"/>
      <c r="F49" s="3"/>
      <c r="G49" s="3" t="s">
        <v>27</v>
      </c>
      <c r="H49" s="3"/>
      <c r="I49" s="20"/>
      <c r="J49" s="3"/>
      <c r="K49" s="3"/>
      <c r="L49" s="3"/>
      <c r="M49" s="23"/>
      <c r="N49" s="4"/>
      <c r="O49" s="4"/>
      <c r="P49" s="4"/>
    </row>
    <row r="50" spans="1:16" ht="13" thickBot="1">
      <c r="A50" s="18"/>
      <c r="B50" s="18"/>
      <c r="C50" s="18"/>
      <c r="D50" s="18"/>
      <c r="E50" s="18"/>
      <c r="F50" s="18"/>
      <c r="G50" s="18"/>
      <c r="H50" s="6" t="s">
        <v>71</v>
      </c>
      <c r="I50" s="21">
        <v>42090</v>
      </c>
      <c r="J50" s="6" t="s">
        <v>82</v>
      </c>
      <c r="K50" s="6" t="s">
        <v>83</v>
      </c>
      <c r="L50" s="6" t="s">
        <v>103</v>
      </c>
      <c r="M50" s="24" t="s">
        <v>0</v>
      </c>
      <c r="N50" s="11">
        <v>55</v>
      </c>
      <c r="O50" s="11"/>
      <c r="P50" s="11">
        <v>55</v>
      </c>
    </row>
    <row r="51" spans="1:16">
      <c r="A51" s="6"/>
      <c r="B51" s="6"/>
      <c r="C51" s="6"/>
      <c r="D51" s="6"/>
      <c r="E51" s="6"/>
      <c r="F51" s="6"/>
      <c r="G51" s="6" t="s">
        <v>104</v>
      </c>
      <c r="H51" s="6"/>
      <c r="I51" s="21"/>
      <c r="J51" s="6"/>
      <c r="K51" s="6"/>
      <c r="L51" s="6"/>
      <c r="M51" s="24"/>
      <c r="N51" s="7">
        <f>ROUND(SUM(N49:N50),5)</f>
        <v>55</v>
      </c>
      <c r="O51" s="7">
        <f>ROUND(SUM(O49:O50),5)</f>
        <v>0</v>
      </c>
      <c r="P51" s="7">
        <f>P50</f>
        <v>55</v>
      </c>
    </row>
    <row r="52" spans="1:16" ht="30" customHeight="1">
      <c r="A52" s="3"/>
      <c r="B52" s="3"/>
      <c r="C52" s="3"/>
      <c r="D52" s="3"/>
      <c r="E52" s="3"/>
      <c r="F52" s="3"/>
      <c r="G52" s="3" t="s">
        <v>29</v>
      </c>
      <c r="H52" s="3"/>
      <c r="I52" s="20"/>
      <c r="J52" s="3"/>
      <c r="K52" s="3"/>
      <c r="L52" s="3"/>
      <c r="M52" s="23"/>
      <c r="N52" s="4"/>
      <c r="O52" s="4"/>
      <c r="P52" s="4"/>
    </row>
    <row r="53" spans="1:16">
      <c r="A53" s="6"/>
      <c r="B53" s="6"/>
      <c r="C53" s="6"/>
      <c r="D53" s="6"/>
      <c r="E53" s="6"/>
      <c r="F53" s="6"/>
      <c r="G53" s="6"/>
      <c r="H53" s="6" t="s">
        <v>71</v>
      </c>
      <c r="I53" s="21">
        <v>42090</v>
      </c>
      <c r="J53" s="6" t="s">
        <v>82</v>
      </c>
      <c r="K53" s="6" t="s">
        <v>83</v>
      </c>
      <c r="L53" s="6" t="s">
        <v>105</v>
      </c>
      <c r="M53" s="24" t="s">
        <v>2</v>
      </c>
      <c r="N53" s="7">
        <v>313.2</v>
      </c>
      <c r="O53" s="7"/>
      <c r="P53" s="7">
        <v>313.2</v>
      </c>
    </row>
    <row r="54" spans="1:16" ht="13" thickBot="1">
      <c r="A54" s="6"/>
      <c r="B54" s="6"/>
      <c r="C54" s="6"/>
      <c r="D54" s="6"/>
      <c r="E54" s="6"/>
      <c r="F54" s="6"/>
      <c r="G54" s="6"/>
      <c r="H54" s="6" t="s">
        <v>71</v>
      </c>
      <c r="I54" s="21">
        <v>42090</v>
      </c>
      <c r="J54" s="6" t="s">
        <v>82</v>
      </c>
      <c r="K54" s="6" t="s">
        <v>83</v>
      </c>
      <c r="L54" s="6" t="s">
        <v>106</v>
      </c>
      <c r="M54" s="24" t="s">
        <v>2</v>
      </c>
      <c r="N54" s="8">
        <v>395.63</v>
      </c>
      <c r="O54" s="8"/>
      <c r="P54" s="8">
        <v>708.83</v>
      </c>
    </row>
    <row r="55" spans="1:16" ht="13" thickBot="1">
      <c r="A55" s="6"/>
      <c r="B55" s="6"/>
      <c r="C55" s="6"/>
      <c r="D55" s="6"/>
      <c r="E55" s="6"/>
      <c r="F55" s="6"/>
      <c r="G55" s="6" t="s">
        <v>107</v>
      </c>
      <c r="H55" s="6"/>
      <c r="I55" s="21"/>
      <c r="J55" s="6"/>
      <c r="K55" s="6"/>
      <c r="L55" s="6"/>
      <c r="M55" s="24"/>
      <c r="N55" s="9">
        <f>ROUND(SUM(N52:N54),5)</f>
        <v>708.83</v>
      </c>
      <c r="O55" s="9">
        <f>ROUND(SUM(O52:O54),5)</f>
        <v>0</v>
      </c>
      <c r="P55" s="9">
        <f>P54</f>
        <v>708.83</v>
      </c>
    </row>
    <row r="56" spans="1:16" ht="30" customHeight="1" thickBot="1">
      <c r="A56" s="6"/>
      <c r="B56" s="6"/>
      <c r="C56" s="6"/>
      <c r="D56" s="6"/>
      <c r="E56" s="6"/>
      <c r="F56" s="6" t="s">
        <v>33</v>
      </c>
      <c r="G56" s="6"/>
      <c r="H56" s="6"/>
      <c r="I56" s="21"/>
      <c r="J56" s="6"/>
      <c r="K56" s="6"/>
      <c r="L56" s="6"/>
      <c r="M56" s="24"/>
      <c r="N56" s="9">
        <f>ROUND(N30+N34+N39+N43+N48+N51+N55,5)</f>
        <v>11198.11</v>
      </c>
      <c r="O56" s="9">
        <f>ROUND(O30+O34+O39+O43+O48+O51+O55,5)</f>
        <v>4140.22</v>
      </c>
      <c r="P56" s="9">
        <f>ROUND(P30+P34+P39+P43+P48+P51+P55,5)</f>
        <v>7057.89</v>
      </c>
    </row>
    <row r="57" spans="1:16" ht="30" customHeight="1" thickBot="1">
      <c r="A57" s="6"/>
      <c r="B57" s="6"/>
      <c r="C57" s="6"/>
      <c r="D57" s="6"/>
      <c r="E57" s="6" t="s">
        <v>34</v>
      </c>
      <c r="F57" s="6"/>
      <c r="G57" s="6"/>
      <c r="H57" s="6"/>
      <c r="I57" s="21"/>
      <c r="J57" s="6"/>
      <c r="K57" s="6"/>
      <c r="L57" s="6"/>
      <c r="M57" s="24"/>
      <c r="N57" s="9">
        <f t="shared" ref="N57:P58" si="1">N56</f>
        <v>11198.11</v>
      </c>
      <c r="O57" s="9">
        <f t="shared" si="1"/>
        <v>4140.22</v>
      </c>
      <c r="P57" s="9">
        <f t="shared" si="1"/>
        <v>7057.89</v>
      </c>
    </row>
    <row r="58" spans="1:16" ht="30" customHeight="1" thickBot="1">
      <c r="A58" s="6"/>
      <c r="B58" s="6"/>
      <c r="C58" s="6"/>
      <c r="D58" s="6" t="s">
        <v>35</v>
      </c>
      <c r="E58" s="6"/>
      <c r="F58" s="6"/>
      <c r="G58" s="6"/>
      <c r="H58" s="6"/>
      <c r="I58" s="21"/>
      <c r="J58" s="6"/>
      <c r="K58" s="6"/>
      <c r="L58" s="6"/>
      <c r="M58" s="24"/>
      <c r="N58" s="9">
        <f t="shared" si="1"/>
        <v>11198.11</v>
      </c>
      <c r="O58" s="9">
        <f t="shared" si="1"/>
        <v>4140.22</v>
      </c>
      <c r="P58" s="9">
        <f t="shared" si="1"/>
        <v>7057.89</v>
      </c>
    </row>
    <row r="59" spans="1:16" ht="30" customHeight="1" thickBot="1">
      <c r="A59" s="6"/>
      <c r="B59" s="6" t="s">
        <v>36</v>
      </c>
      <c r="C59" s="6"/>
      <c r="D59" s="6"/>
      <c r="E59" s="6"/>
      <c r="F59" s="6"/>
      <c r="G59" s="6"/>
      <c r="H59" s="6"/>
      <c r="I59" s="21"/>
      <c r="J59" s="6"/>
      <c r="K59" s="6"/>
      <c r="L59" s="6"/>
      <c r="M59" s="24"/>
      <c r="N59" s="9">
        <f>ROUND(N15+N58,5)</f>
        <v>11198.11</v>
      </c>
      <c r="O59" s="9">
        <f>ROUND(O15+O58,5)</f>
        <v>7740.22</v>
      </c>
      <c r="P59" s="9">
        <f>ROUND(P15-P58,5)</f>
        <v>-3457.89</v>
      </c>
    </row>
    <row r="60" spans="1:16" s="13" customFormat="1" ht="30" customHeight="1" thickBot="1">
      <c r="A60" s="3" t="s">
        <v>37</v>
      </c>
      <c r="B60" s="3"/>
      <c r="C60" s="3"/>
      <c r="D60" s="3"/>
      <c r="E60" s="3"/>
      <c r="F60" s="3"/>
      <c r="G60" s="3"/>
      <c r="H60" s="3"/>
      <c r="I60" s="20"/>
      <c r="J60" s="3"/>
      <c r="K60" s="3"/>
      <c r="L60" s="3"/>
      <c r="M60" s="23"/>
      <c r="N60" s="12">
        <f>N59</f>
        <v>11198.11</v>
      </c>
      <c r="O60" s="12">
        <f>O59</f>
        <v>7740.22</v>
      </c>
      <c r="P60" s="12">
        <f>P59</f>
        <v>-3457.89</v>
      </c>
    </row>
    <row r="61" spans="1:16" ht="13" thickTop="1"/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W19" sqref="W19"/>
    </sheetView>
  </sheetViews>
  <sheetFormatPr baseColWidth="10" defaultColWidth="8.83203125" defaultRowHeight="14" x14ac:dyDescent="0"/>
  <cols>
    <col min="1" max="6" width="3" style="84" customWidth="1"/>
    <col min="7" max="7" width="25.5" style="84" customWidth="1"/>
    <col min="8" max="8" width="12.83203125" style="68" customWidth="1"/>
    <col min="9" max="9" width="12.83203125" style="68" hidden="1" customWidth="1"/>
    <col min="10" max="12" width="12.83203125" style="68" customWidth="1"/>
    <col min="13" max="13" width="12.83203125" style="68" hidden="1" customWidth="1"/>
    <col min="14" max="14" width="12.83203125" style="68" customWidth="1"/>
    <col min="15" max="15" width="12.83203125" style="68" hidden="1" customWidth="1"/>
    <col min="16" max="17" width="12.83203125" style="68" customWidth="1"/>
    <col min="18" max="19" width="12.83203125" style="68" hidden="1" customWidth="1"/>
    <col min="20" max="20" width="14.6640625" style="68" bestFit="1" customWidth="1"/>
    <col min="22" max="22" width="12.1640625" bestFit="1" customWidth="1"/>
  </cols>
  <sheetData>
    <row r="1" spans="1:23" ht="15">
      <c r="A1" s="62" t="s">
        <v>119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1:23" ht="17">
      <c r="A2" s="66" t="s">
        <v>120</v>
      </c>
      <c r="B2" s="63"/>
      <c r="C2" s="63"/>
      <c r="D2" s="63"/>
      <c r="E2" s="63"/>
      <c r="F2" s="63"/>
      <c r="G2" s="63"/>
      <c r="H2" s="64"/>
      <c r="I2" s="67"/>
      <c r="M2" s="67"/>
      <c r="N2" s="67"/>
      <c r="O2" s="67"/>
      <c r="Q2" s="67"/>
      <c r="R2" s="67"/>
      <c r="S2" s="67"/>
      <c r="T2" s="69"/>
    </row>
    <row r="3" spans="1:23">
      <c r="A3" s="70" t="s">
        <v>121</v>
      </c>
      <c r="B3" s="63"/>
      <c r="C3" s="63"/>
      <c r="D3" s="63"/>
      <c r="E3" s="63"/>
      <c r="F3" s="63"/>
      <c r="G3" s="6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5"/>
    </row>
    <row r="4" spans="1:23" s="27" customFormat="1" ht="49.25" customHeight="1" thickBot="1">
      <c r="A4" s="25"/>
      <c r="B4" s="25"/>
      <c r="C4" s="25"/>
      <c r="D4" s="25"/>
      <c r="E4" s="25"/>
      <c r="F4" s="25"/>
      <c r="G4" s="25"/>
      <c r="H4" s="26" t="s">
        <v>0</v>
      </c>
      <c r="I4" s="26" t="s">
        <v>1</v>
      </c>
      <c r="J4" s="26" t="s">
        <v>2</v>
      </c>
      <c r="K4" s="26" t="s">
        <v>3</v>
      </c>
      <c r="L4" s="26" t="s">
        <v>4</v>
      </c>
      <c r="M4" s="26" t="s">
        <v>5</v>
      </c>
      <c r="N4" s="26" t="s">
        <v>6</v>
      </c>
      <c r="O4" s="26" t="s">
        <v>122</v>
      </c>
      <c r="P4" s="26" t="s">
        <v>8</v>
      </c>
      <c r="Q4" s="26" t="s">
        <v>123</v>
      </c>
      <c r="R4" s="26" t="s">
        <v>124</v>
      </c>
      <c r="S4" s="26" t="s">
        <v>125</v>
      </c>
      <c r="T4" s="71" t="s">
        <v>126</v>
      </c>
      <c r="V4" s="26" t="s">
        <v>127</v>
      </c>
      <c r="W4" s="72" t="s">
        <v>128</v>
      </c>
    </row>
    <row r="5" spans="1:23" s="27" customFormat="1" ht="16.75" customHeight="1" thickTop="1" thickBot="1">
      <c r="A5" s="25"/>
      <c r="B5" s="25"/>
      <c r="C5" s="25"/>
      <c r="D5" s="25"/>
      <c r="E5" s="25"/>
      <c r="F5" s="25"/>
      <c r="G5" s="73" t="s">
        <v>129</v>
      </c>
      <c r="H5" s="74">
        <f>-17313.88-20457.24-150-18361.46+119417.59</f>
        <v>63135.009999999995</v>
      </c>
      <c r="I5" s="74">
        <f>-17313.88+17313.88</f>
        <v>0</v>
      </c>
      <c r="J5" s="74">
        <v>72000</v>
      </c>
      <c r="K5" s="74">
        <v>5248.23</v>
      </c>
      <c r="L5" s="74">
        <v>8345.8999999999942</v>
      </c>
      <c r="M5" s="74">
        <f>-20457.24+20457.24</f>
        <v>0</v>
      </c>
      <c r="N5" s="74">
        <v>-24391.690000000002</v>
      </c>
      <c r="O5" s="75">
        <v>424.36000000000058</v>
      </c>
      <c r="P5" s="74">
        <v>5750</v>
      </c>
      <c r="Q5" s="74">
        <v>0</v>
      </c>
      <c r="R5" s="75">
        <v>-2409.58</v>
      </c>
      <c r="S5" s="75">
        <v>-30.28</v>
      </c>
      <c r="T5" s="74">
        <f>SUM(H5:S5)</f>
        <v>128071.95000000001</v>
      </c>
      <c r="V5" s="75">
        <f>-150+150</f>
        <v>0</v>
      </c>
      <c r="W5" s="75">
        <f>-18361.46+18361.46</f>
        <v>0</v>
      </c>
    </row>
    <row r="6" spans="1:23" ht="15" thickTop="1">
      <c r="A6" s="76"/>
      <c r="B6" s="76" t="s">
        <v>10</v>
      </c>
      <c r="C6" s="76"/>
      <c r="D6" s="76"/>
      <c r="E6" s="76"/>
      <c r="F6" s="76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3">
      <c r="A7" s="76"/>
      <c r="B7" s="76"/>
      <c r="C7" s="76"/>
      <c r="D7" s="76" t="s">
        <v>11</v>
      </c>
      <c r="E7" s="76"/>
      <c r="F7" s="76"/>
      <c r="G7" s="76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3">
      <c r="A8" s="76"/>
      <c r="B8" s="76"/>
      <c r="C8" s="76"/>
      <c r="D8" s="76"/>
      <c r="E8" s="76" t="s">
        <v>130</v>
      </c>
      <c r="F8" s="76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3">
      <c r="A9" s="76"/>
      <c r="B9" s="76"/>
      <c r="C9" s="76"/>
      <c r="D9" s="76"/>
      <c r="E9" s="76"/>
      <c r="F9" s="76" t="s">
        <v>131</v>
      </c>
      <c r="G9" s="76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3">
      <c r="A10" s="76"/>
      <c r="B10" s="76"/>
      <c r="C10" s="76"/>
      <c r="D10" s="76"/>
      <c r="E10" s="76"/>
      <c r="F10" s="76"/>
      <c r="G10" s="76" t="s">
        <v>132</v>
      </c>
      <c r="H10" s="77">
        <f>124341-53971.38+4685+19415.9</f>
        <v>94470.51999999999</v>
      </c>
      <c r="I10" s="77">
        <v>4012.18</v>
      </c>
      <c r="J10" s="77">
        <v>0</v>
      </c>
      <c r="K10" s="77">
        <v>0</v>
      </c>
      <c r="L10" s="77">
        <v>-19415.900000000001</v>
      </c>
      <c r="M10" s="77">
        <v>11175.72</v>
      </c>
      <c r="N10" s="77">
        <v>36282.980000000003</v>
      </c>
      <c r="O10" s="77">
        <v>-419.36</v>
      </c>
      <c r="P10" s="77">
        <v>-4685</v>
      </c>
      <c r="Q10" s="77">
        <f>2000-1520</f>
        <v>480</v>
      </c>
      <c r="R10" s="77">
        <v>2409.58</v>
      </c>
      <c r="S10" s="77">
        <v>30.28</v>
      </c>
      <c r="T10" s="77">
        <f t="shared" ref="T10:T15" si="0">ROUND(SUM(H10:Q10),5)</f>
        <v>121901.14</v>
      </c>
    </row>
    <row r="11" spans="1:23">
      <c r="A11" s="76"/>
      <c r="B11" s="76"/>
      <c r="C11" s="76"/>
      <c r="D11" s="76"/>
      <c r="E11" s="76"/>
      <c r="F11" s="76"/>
      <c r="G11" s="76" t="s">
        <v>133</v>
      </c>
      <c r="H11" s="77">
        <v>-14105</v>
      </c>
      <c r="I11" s="77">
        <v>0</v>
      </c>
      <c r="J11" s="77">
        <v>57400</v>
      </c>
      <c r="K11" s="77">
        <v>1000</v>
      </c>
      <c r="L11" s="77">
        <v>18000</v>
      </c>
      <c r="M11" s="77">
        <v>0</v>
      </c>
      <c r="N11" s="77">
        <v>0</v>
      </c>
      <c r="O11" s="77">
        <v>0</v>
      </c>
      <c r="P11" s="77">
        <v>0</v>
      </c>
      <c r="Q11" s="77">
        <v>-2000</v>
      </c>
      <c r="R11" s="77"/>
      <c r="S11" s="77"/>
      <c r="T11" s="77">
        <f t="shared" si="0"/>
        <v>60295</v>
      </c>
    </row>
    <row r="12" spans="1:23">
      <c r="A12" s="76"/>
      <c r="B12" s="76"/>
      <c r="C12" s="76"/>
      <c r="D12" s="76"/>
      <c r="E12" s="76"/>
      <c r="F12" s="76"/>
      <c r="G12" s="76" t="s">
        <v>134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/>
      <c r="S12" s="77"/>
      <c r="T12" s="77">
        <f t="shared" si="0"/>
        <v>0</v>
      </c>
    </row>
    <row r="13" spans="1:23" ht="15" thickBot="1">
      <c r="A13" s="76"/>
      <c r="B13" s="76"/>
      <c r="C13" s="76"/>
      <c r="D13" s="76"/>
      <c r="E13" s="76"/>
      <c r="F13" s="76"/>
      <c r="G13" s="76" t="s">
        <v>135</v>
      </c>
      <c r="H13" s="78">
        <f>-50236</f>
        <v>-50236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/>
      <c r="S13" s="78"/>
      <c r="T13" s="78">
        <f t="shared" si="0"/>
        <v>-50236</v>
      </c>
    </row>
    <row r="14" spans="1:23" ht="15" thickBot="1">
      <c r="A14" s="76"/>
      <c r="B14" s="76"/>
      <c r="C14" s="76"/>
      <c r="D14" s="76"/>
      <c r="E14" s="76"/>
      <c r="F14" s="76" t="s">
        <v>136</v>
      </c>
      <c r="G14" s="76"/>
      <c r="H14" s="79">
        <f t="shared" ref="H14:S14" si="1">ROUND(SUM(H9:H13),5)</f>
        <v>30129.52</v>
      </c>
      <c r="I14" s="79">
        <f t="shared" si="1"/>
        <v>4012.18</v>
      </c>
      <c r="J14" s="79">
        <f t="shared" si="1"/>
        <v>57400</v>
      </c>
      <c r="K14" s="79">
        <f t="shared" si="1"/>
        <v>1000</v>
      </c>
      <c r="L14" s="79">
        <f t="shared" si="1"/>
        <v>-1415.9</v>
      </c>
      <c r="M14" s="79">
        <f t="shared" si="1"/>
        <v>11175.72</v>
      </c>
      <c r="N14" s="79">
        <f t="shared" si="1"/>
        <v>36282.980000000003</v>
      </c>
      <c r="O14" s="79">
        <f t="shared" si="1"/>
        <v>-419.36</v>
      </c>
      <c r="P14" s="79">
        <f t="shared" si="1"/>
        <v>-4685</v>
      </c>
      <c r="Q14" s="79">
        <f t="shared" si="1"/>
        <v>-1520</v>
      </c>
      <c r="R14" s="79">
        <f t="shared" si="1"/>
        <v>2409.58</v>
      </c>
      <c r="S14" s="79">
        <f t="shared" si="1"/>
        <v>30.28</v>
      </c>
      <c r="T14" s="79">
        <f t="shared" si="0"/>
        <v>131960.14000000001</v>
      </c>
    </row>
    <row r="15" spans="1:23" ht="30" customHeight="1">
      <c r="A15" s="76"/>
      <c r="B15" s="76"/>
      <c r="C15" s="76"/>
      <c r="D15" s="76"/>
      <c r="E15" s="76" t="s">
        <v>137</v>
      </c>
      <c r="F15" s="76"/>
      <c r="G15" s="76"/>
      <c r="H15" s="77">
        <f t="shared" ref="H15:S15" si="2">ROUND(H8+H14,5)</f>
        <v>30129.52</v>
      </c>
      <c r="I15" s="77">
        <f t="shared" si="2"/>
        <v>4012.18</v>
      </c>
      <c r="J15" s="77">
        <f t="shared" si="2"/>
        <v>57400</v>
      </c>
      <c r="K15" s="77">
        <f t="shared" si="2"/>
        <v>1000</v>
      </c>
      <c r="L15" s="77">
        <f t="shared" si="2"/>
        <v>-1415.9</v>
      </c>
      <c r="M15" s="77">
        <f t="shared" si="2"/>
        <v>11175.72</v>
      </c>
      <c r="N15" s="77">
        <f t="shared" si="2"/>
        <v>36282.980000000003</v>
      </c>
      <c r="O15" s="77">
        <f t="shared" si="2"/>
        <v>-419.36</v>
      </c>
      <c r="P15" s="77">
        <f t="shared" si="2"/>
        <v>-4685</v>
      </c>
      <c r="Q15" s="77">
        <f t="shared" si="2"/>
        <v>-1520</v>
      </c>
      <c r="R15" s="77">
        <f t="shared" si="2"/>
        <v>2409.58</v>
      </c>
      <c r="S15" s="77">
        <f t="shared" si="2"/>
        <v>30.28</v>
      </c>
      <c r="T15" s="77">
        <f t="shared" si="0"/>
        <v>131960.14000000001</v>
      </c>
    </row>
    <row r="16" spans="1:23" ht="30" customHeight="1">
      <c r="A16" s="76"/>
      <c r="B16" s="76"/>
      <c r="C16" s="76"/>
      <c r="D16" s="76"/>
      <c r="E16" s="76" t="s">
        <v>12</v>
      </c>
      <c r="F16" s="76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</row>
    <row r="17" spans="1:20">
      <c r="A17" s="76"/>
      <c r="B17" s="76"/>
      <c r="C17" s="76"/>
      <c r="D17" s="76"/>
      <c r="E17" s="76"/>
      <c r="F17" s="76" t="s">
        <v>13</v>
      </c>
      <c r="G17" s="76"/>
      <c r="H17" s="77">
        <v>35000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/>
      <c r="S17" s="77"/>
      <c r="T17" s="77">
        <f t="shared" ref="T17:T23" si="3">ROUND(SUM(H17:Q17),5)</f>
        <v>35000</v>
      </c>
    </row>
    <row r="18" spans="1:20">
      <c r="A18" s="76"/>
      <c r="B18" s="76"/>
      <c r="C18" s="76"/>
      <c r="D18" s="76"/>
      <c r="E18" s="76"/>
      <c r="F18" s="76" t="s">
        <v>14</v>
      </c>
      <c r="G18" s="76"/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4500</v>
      </c>
      <c r="Q18" s="77">
        <v>4180</v>
      </c>
      <c r="R18" s="77"/>
      <c r="S18" s="77"/>
      <c r="T18" s="77">
        <f t="shared" si="3"/>
        <v>8680</v>
      </c>
    </row>
    <row r="19" spans="1:20">
      <c r="A19" s="76"/>
      <c r="B19" s="76"/>
      <c r="C19" s="76"/>
      <c r="D19" s="76"/>
      <c r="E19" s="76"/>
      <c r="F19" s="76" t="s">
        <v>15</v>
      </c>
      <c r="G19" s="76"/>
      <c r="H19" s="77">
        <v>350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1100</v>
      </c>
      <c r="O19" s="77">
        <v>0</v>
      </c>
      <c r="P19" s="77">
        <v>0</v>
      </c>
      <c r="Q19" s="77">
        <v>0</v>
      </c>
      <c r="R19" s="77"/>
      <c r="S19" s="77"/>
      <c r="T19" s="77">
        <f t="shared" si="3"/>
        <v>1450</v>
      </c>
    </row>
    <row r="20" spans="1:20" ht="15" thickBot="1">
      <c r="A20" s="76"/>
      <c r="B20" s="76"/>
      <c r="C20" s="76"/>
      <c r="D20" s="76"/>
      <c r="E20" s="76"/>
      <c r="F20" s="76" t="s">
        <v>138</v>
      </c>
      <c r="G20" s="76"/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4000</v>
      </c>
      <c r="O20" s="78">
        <v>0</v>
      </c>
      <c r="P20" s="78">
        <v>0</v>
      </c>
      <c r="Q20" s="78">
        <v>0</v>
      </c>
      <c r="R20" s="78"/>
      <c r="S20" s="78"/>
      <c r="T20" s="78">
        <f t="shared" si="3"/>
        <v>4000</v>
      </c>
    </row>
    <row r="21" spans="1:20" ht="15" thickBot="1">
      <c r="A21" s="76"/>
      <c r="B21" s="76"/>
      <c r="C21" s="76"/>
      <c r="D21" s="76"/>
      <c r="E21" s="76" t="s">
        <v>16</v>
      </c>
      <c r="F21" s="76"/>
      <c r="G21" s="76"/>
      <c r="H21" s="80">
        <f t="shared" ref="H21:S21" si="4">ROUND(SUM(H16:H20),5)</f>
        <v>35350</v>
      </c>
      <c r="I21" s="80">
        <f t="shared" si="4"/>
        <v>0</v>
      </c>
      <c r="J21" s="80">
        <f t="shared" si="4"/>
        <v>0</v>
      </c>
      <c r="K21" s="80">
        <f t="shared" si="4"/>
        <v>0</v>
      </c>
      <c r="L21" s="80">
        <f t="shared" si="4"/>
        <v>0</v>
      </c>
      <c r="M21" s="80">
        <f t="shared" si="4"/>
        <v>0</v>
      </c>
      <c r="N21" s="80">
        <f t="shared" si="4"/>
        <v>5100</v>
      </c>
      <c r="O21" s="80">
        <f t="shared" si="4"/>
        <v>0</v>
      </c>
      <c r="P21" s="80">
        <f t="shared" si="4"/>
        <v>4500</v>
      </c>
      <c r="Q21" s="80">
        <f t="shared" si="4"/>
        <v>4180</v>
      </c>
      <c r="R21" s="80">
        <f t="shared" si="4"/>
        <v>0</v>
      </c>
      <c r="S21" s="80">
        <f t="shared" si="4"/>
        <v>0</v>
      </c>
      <c r="T21" s="80">
        <f t="shared" si="3"/>
        <v>49130</v>
      </c>
    </row>
    <row r="22" spans="1:20" ht="30" customHeight="1" thickBot="1">
      <c r="A22" s="76"/>
      <c r="B22" s="76"/>
      <c r="C22" s="76"/>
      <c r="D22" s="76" t="s">
        <v>17</v>
      </c>
      <c r="E22" s="76"/>
      <c r="F22" s="76"/>
      <c r="G22" s="76"/>
      <c r="H22" s="79">
        <f t="shared" ref="H22:S22" si="5">ROUND(H7+H15+H21,5)</f>
        <v>65479.519999999997</v>
      </c>
      <c r="I22" s="79">
        <f t="shared" si="5"/>
        <v>4012.18</v>
      </c>
      <c r="J22" s="79">
        <f t="shared" si="5"/>
        <v>57400</v>
      </c>
      <c r="K22" s="79">
        <f t="shared" si="5"/>
        <v>1000</v>
      </c>
      <c r="L22" s="79">
        <f t="shared" si="5"/>
        <v>-1415.9</v>
      </c>
      <c r="M22" s="79">
        <f t="shared" si="5"/>
        <v>11175.72</v>
      </c>
      <c r="N22" s="79">
        <f t="shared" si="5"/>
        <v>41382.980000000003</v>
      </c>
      <c r="O22" s="79">
        <f t="shared" si="5"/>
        <v>-419.36</v>
      </c>
      <c r="P22" s="79">
        <f t="shared" si="5"/>
        <v>-185</v>
      </c>
      <c r="Q22" s="79">
        <f t="shared" si="5"/>
        <v>2660</v>
      </c>
      <c r="R22" s="79">
        <f t="shared" si="5"/>
        <v>2409.58</v>
      </c>
      <c r="S22" s="79">
        <f t="shared" si="5"/>
        <v>30.28</v>
      </c>
      <c r="T22" s="79">
        <f t="shared" si="3"/>
        <v>181090.14</v>
      </c>
    </row>
    <row r="23" spans="1:20" ht="30" customHeight="1">
      <c r="A23" s="76"/>
      <c r="B23" s="76"/>
      <c r="C23" s="76" t="s">
        <v>18</v>
      </c>
      <c r="D23" s="76"/>
      <c r="E23" s="76"/>
      <c r="F23" s="76"/>
      <c r="G23" s="76"/>
      <c r="H23" s="77">
        <f t="shared" ref="H23:S23" si="6">H22</f>
        <v>65479.519999999997</v>
      </c>
      <c r="I23" s="77">
        <f t="shared" si="6"/>
        <v>4012.18</v>
      </c>
      <c r="J23" s="77">
        <f t="shared" si="6"/>
        <v>57400</v>
      </c>
      <c r="K23" s="77">
        <f t="shared" si="6"/>
        <v>1000</v>
      </c>
      <c r="L23" s="77">
        <f t="shared" si="6"/>
        <v>-1415.9</v>
      </c>
      <c r="M23" s="77">
        <f t="shared" si="6"/>
        <v>11175.72</v>
      </c>
      <c r="N23" s="77">
        <f t="shared" si="6"/>
        <v>41382.980000000003</v>
      </c>
      <c r="O23" s="77">
        <f t="shared" si="6"/>
        <v>-419.36</v>
      </c>
      <c r="P23" s="77">
        <f t="shared" si="6"/>
        <v>-185</v>
      </c>
      <c r="Q23" s="77">
        <f t="shared" si="6"/>
        <v>2660</v>
      </c>
      <c r="R23" s="77">
        <f t="shared" si="6"/>
        <v>2409.58</v>
      </c>
      <c r="S23" s="77">
        <f t="shared" si="6"/>
        <v>30.28</v>
      </c>
      <c r="T23" s="77">
        <f t="shared" si="3"/>
        <v>181090.14</v>
      </c>
    </row>
    <row r="24" spans="1:20" ht="30" customHeight="1">
      <c r="A24" s="76"/>
      <c r="B24" s="76"/>
      <c r="C24" s="76"/>
      <c r="D24" s="76" t="s">
        <v>19</v>
      </c>
      <c r="E24" s="76"/>
      <c r="F24" s="76"/>
      <c r="G24" s="76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spans="1:20">
      <c r="A25" s="76"/>
      <c r="B25" s="76"/>
      <c r="C25" s="76"/>
      <c r="D25" s="76"/>
      <c r="E25" s="76" t="s">
        <v>20</v>
      </c>
      <c r="F25" s="76"/>
      <c r="G25" s="76"/>
      <c r="H25" s="81"/>
      <c r="I25" s="81"/>
      <c r="J25" s="81"/>
      <c r="K25" s="81"/>
      <c r="L25" s="81"/>
      <c r="M25" s="81"/>
      <c r="N25" s="77"/>
      <c r="O25" s="77"/>
      <c r="P25" s="77"/>
      <c r="Q25" s="77"/>
      <c r="R25" s="77"/>
      <c r="S25" s="77"/>
      <c r="T25" s="77"/>
    </row>
    <row r="26" spans="1:20">
      <c r="A26" s="76"/>
      <c r="B26" s="76"/>
      <c r="C26" s="76"/>
      <c r="D26" s="76"/>
      <c r="E26" s="76"/>
      <c r="F26" s="76" t="s">
        <v>21</v>
      </c>
      <c r="G26" s="76"/>
      <c r="H26" s="81"/>
      <c r="I26" s="81"/>
      <c r="J26" s="81"/>
      <c r="K26" s="81"/>
      <c r="L26" s="81"/>
      <c r="M26" s="81"/>
      <c r="N26" s="77"/>
      <c r="O26" s="77"/>
      <c r="P26" s="77"/>
      <c r="Q26" s="77"/>
      <c r="R26" s="77"/>
      <c r="S26" s="77"/>
      <c r="T26" s="77"/>
    </row>
    <row r="27" spans="1:20">
      <c r="A27" s="76"/>
      <c r="B27" s="76"/>
      <c r="C27" s="76"/>
      <c r="D27" s="76"/>
      <c r="E27" s="76"/>
      <c r="F27" s="76"/>
      <c r="G27" s="76" t="s">
        <v>139</v>
      </c>
      <c r="H27" s="81">
        <v>6370</v>
      </c>
      <c r="I27" s="81">
        <v>0</v>
      </c>
      <c r="J27" s="81">
        <v>5418</v>
      </c>
      <c r="K27" s="81">
        <v>0</v>
      </c>
      <c r="L27" s="81">
        <v>0</v>
      </c>
      <c r="M27" s="81">
        <v>0</v>
      </c>
      <c r="N27" s="77">
        <v>0</v>
      </c>
      <c r="O27" s="77">
        <v>0</v>
      </c>
      <c r="P27" s="77">
        <v>0</v>
      </c>
      <c r="Q27" s="77">
        <v>0</v>
      </c>
      <c r="R27" s="77"/>
      <c r="S27" s="77"/>
      <c r="T27" s="77">
        <f t="shared" ref="T27:T46" si="7">ROUND(SUM(H27:Q27),5)</f>
        <v>11788</v>
      </c>
    </row>
    <row r="28" spans="1:20">
      <c r="A28" s="76"/>
      <c r="B28" s="76"/>
      <c r="C28" s="76"/>
      <c r="D28" s="76"/>
      <c r="E28" s="76"/>
      <c r="F28" s="76"/>
      <c r="G28" s="76" t="s">
        <v>22</v>
      </c>
      <c r="H28" s="81">
        <f>24985.82-2000-17000</f>
        <v>5985.82</v>
      </c>
      <c r="I28" s="81">
        <v>0</v>
      </c>
      <c r="J28" s="81">
        <v>17000</v>
      </c>
      <c r="K28" s="81">
        <v>0</v>
      </c>
      <c r="L28" s="81">
        <v>0</v>
      </c>
      <c r="M28" s="81">
        <v>0</v>
      </c>
      <c r="N28" s="77">
        <v>0</v>
      </c>
      <c r="O28" s="77">
        <v>0</v>
      </c>
      <c r="P28" s="77">
        <v>0</v>
      </c>
      <c r="Q28" s="77">
        <v>0</v>
      </c>
      <c r="R28" s="77"/>
      <c r="S28" s="77"/>
      <c r="T28" s="77">
        <f t="shared" si="7"/>
        <v>22985.82</v>
      </c>
    </row>
    <row r="29" spans="1:20">
      <c r="A29" s="76"/>
      <c r="B29" s="76"/>
      <c r="C29" s="76"/>
      <c r="D29" s="76"/>
      <c r="E29" s="76"/>
      <c r="F29" s="76"/>
      <c r="G29" s="76" t="s">
        <v>23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697.51</v>
      </c>
      <c r="N29" s="77">
        <v>0</v>
      </c>
      <c r="O29" s="77">
        <v>5</v>
      </c>
      <c r="P29" s="77">
        <v>0</v>
      </c>
      <c r="Q29" s="77">
        <v>0</v>
      </c>
      <c r="R29" s="77"/>
      <c r="S29" s="77"/>
      <c r="T29" s="77">
        <f t="shared" si="7"/>
        <v>702.51</v>
      </c>
    </row>
    <row r="30" spans="1:20">
      <c r="A30" s="76"/>
      <c r="B30" s="76"/>
      <c r="C30" s="76"/>
      <c r="D30" s="76"/>
      <c r="E30" s="76"/>
      <c r="F30" s="76"/>
      <c r="G30" s="76" t="s">
        <v>24</v>
      </c>
      <c r="H30" s="81">
        <v>0</v>
      </c>
      <c r="I30" s="81">
        <v>0</v>
      </c>
      <c r="J30" s="81">
        <v>0</v>
      </c>
      <c r="K30" s="81">
        <v>0</v>
      </c>
      <c r="L30" s="81">
        <v>-570</v>
      </c>
      <c r="M30" s="81">
        <v>8000</v>
      </c>
      <c r="N30" s="77">
        <v>600</v>
      </c>
      <c r="O30" s="77">
        <v>0</v>
      </c>
      <c r="P30" s="77">
        <v>0</v>
      </c>
      <c r="Q30" s="77">
        <v>0</v>
      </c>
      <c r="R30" s="77"/>
      <c r="S30" s="77"/>
      <c r="T30" s="77">
        <f t="shared" si="7"/>
        <v>8030</v>
      </c>
    </row>
    <row r="31" spans="1:20">
      <c r="A31" s="76"/>
      <c r="B31" s="76"/>
      <c r="C31" s="76"/>
      <c r="D31" s="76"/>
      <c r="E31" s="76"/>
      <c r="F31" s="76"/>
      <c r="G31" s="76" t="s">
        <v>140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77">
        <v>4394.71</v>
      </c>
      <c r="O31" s="77">
        <v>0</v>
      </c>
      <c r="P31" s="77">
        <v>0</v>
      </c>
      <c r="Q31" s="77">
        <v>0</v>
      </c>
      <c r="R31" s="77"/>
      <c r="S31" s="77"/>
      <c r="T31" s="77">
        <f t="shared" si="7"/>
        <v>4394.71</v>
      </c>
    </row>
    <row r="32" spans="1:20">
      <c r="A32" s="76"/>
      <c r="B32" s="76"/>
      <c r="C32" s="76"/>
      <c r="D32" s="76"/>
      <c r="E32" s="76"/>
      <c r="F32" s="76"/>
      <c r="G32" s="76" t="s">
        <v>141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77">
        <v>29.95</v>
      </c>
      <c r="O32" s="77">
        <v>0</v>
      </c>
      <c r="P32" s="77">
        <v>0</v>
      </c>
      <c r="Q32" s="77">
        <v>0</v>
      </c>
      <c r="R32" s="77"/>
      <c r="S32" s="77"/>
      <c r="T32" s="77">
        <f t="shared" si="7"/>
        <v>29.95</v>
      </c>
    </row>
    <row r="33" spans="1:23">
      <c r="A33" s="76"/>
      <c r="B33" s="76"/>
      <c r="C33" s="76"/>
      <c r="D33" s="76"/>
      <c r="E33" s="76"/>
      <c r="F33" s="76"/>
      <c r="G33" s="76" t="s">
        <v>26</v>
      </c>
      <c r="H33" s="81">
        <v>239.6</v>
      </c>
      <c r="I33" s="81">
        <v>0</v>
      </c>
      <c r="J33" s="81">
        <v>0</v>
      </c>
      <c r="K33" s="81">
        <v>0</v>
      </c>
      <c r="L33" s="81">
        <v>0</v>
      </c>
      <c r="M33" s="81">
        <v>660.89</v>
      </c>
      <c r="N33" s="77">
        <v>0</v>
      </c>
      <c r="O33" s="77">
        <v>0</v>
      </c>
      <c r="P33" s="77">
        <v>5565</v>
      </c>
      <c r="Q33" s="77">
        <v>2640</v>
      </c>
      <c r="R33" s="77"/>
      <c r="S33" s="77"/>
      <c r="T33" s="77">
        <f t="shared" si="7"/>
        <v>9105.49</v>
      </c>
    </row>
    <row r="34" spans="1:23">
      <c r="A34" s="76"/>
      <c r="B34" s="76"/>
      <c r="C34" s="76"/>
      <c r="D34" s="76"/>
      <c r="E34" s="76"/>
      <c r="F34" s="76"/>
      <c r="G34" s="76" t="s">
        <v>142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77">
        <v>546.47</v>
      </c>
      <c r="O34" s="77">
        <v>0</v>
      </c>
      <c r="P34" s="77">
        <v>0</v>
      </c>
      <c r="Q34" s="77">
        <v>0</v>
      </c>
      <c r="R34" s="77"/>
      <c r="S34" s="77"/>
      <c r="T34" s="77">
        <f t="shared" si="7"/>
        <v>546.47</v>
      </c>
    </row>
    <row r="35" spans="1:23">
      <c r="A35" s="76"/>
      <c r="B35" s="76"/>
      <c r="C35" s="76"/>
      <c r="D35" s="76"/>
      <c r="E35" s="76"/>
      <c r="F35" s="76"/>
      <c r="G35" s="76" t="s">
        <v>27</v>
      </c>
      <c r="H35" s="81">
        <v>55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77">
        <v>0</v>
      </c>
      <c r="O35" s="77">
        <v>0</v>
      </c>
      <c r="P35" s="77">
        <v>0</v>
      </c>
      <c r="Q35" s="77">
        <v>20</v>
      </c>
      <c r="R35" s="77"/>
      <c r="S35" s="77"/>
      <c r="T35" s="77">
        <f t="shared" si="7"/>
        <v>75</v>
      </c>
    </row>
    <row r="36" spans="1:23">
      <c r="A36" s="76"/>
      <c r="B36" s="76"/>
      <c r="C36" s="76"/>
      <c r="D36" s="76"/>
      <c r="E36" s="76"/>
      <c r="F36" s="76"/>
      <c r="G36" s="76" t="s">
        <v>28</v>
      </c>
      <c r="H36" s="81">
        <v>19.739999999999998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77">
        <v>0</v>
      </c>
      <c r="O36" s="77">
        <v>0</v>
      </c>
      <c r="P36" s="77">
        <v>0</v>
      </c>
      <c r="Q36" s="77">
        <v>0</v>
      </c>
      <c r="R36" s="77"/>
      <c r="S36" s="77"/>
      <c r="T36" s="77">
        <f t="shared" si="7"/>
        <v>19.739999999999998</v>
      </c>
    </row>
    <row r="37" spans="1:23">
      <c r="A37" s="76"/>
      <c r="B37" s="76"/>
      <c r="C37" s="76"/>
      <c r="D37" s="76"/>
      <c r="E37" s="76"/>
      <c r="F37" s="76"/>
      <c r="G37" s="76" t="s">
        <v>29</v>
      </c>
      <c r="H37" s="81">
        <v>930.92</v>
      </c>
      <c r="I37" s="81">
        <v>3714.68</v>
      </c>
      <c r="J37" s="81">
        <v>176.78</v>
      </c>
      <c r="K37" s="81">
        <v>0</v>
      </c>
      <c r="L37" s="81">
        <v>0</v>
      </c>
      <c r="M37" s="81">
        <v>1422.69</v>
      </c>
      <c r="N37" s="77">
        <v>1594.04</v>
      </c>
      <c r="O37" s="77">
        <v>0</v>
      </c>
      <c r="P37" s="77">
        <v>0</v>
      </c>
      <c r="Q37" s="77">
        <v>0</v>
      </c>
      <c r="R37" s="77"/>
      <c r="S37" s="77"/>
      <c r="T37" s="77">
        <f t="shared" si="7"/>
        <v>7839.11</v>
      </c>
    </row>
    <row r="38" spans="1:23">
      <c r="A38" s="76"/>
      <c r="B38" s="76"/>
      <c r="C38" s="76"/>
      <c r="D38" s="76"/>
      <c r="E38" s="76"/>
      <c r="F38" s="76"/>
      <c r="G38" s="76" t="s">
        <v>30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69.63</v>
      </c>
      <c r="N38" s="77">
        <v>7214.87</v>
      </c>
      <c r="O38" s="77">
        <v>0</v>
      </c>
      <c r="P38" s="77">
        <v>0</v>
      </c>
      <c r="Q38" s="77">
        <v>0</v>
      </c>
      <c r="R38" s="77"/>
      <c r="S38" s="77"/>
      <c r="T38" s="77">
        <f t="shared" si="7"/>
        <v>7284.5</v>
      </c>
    </row>
    <row r="39" spans="1:23">
      <c r="A39" s="76"/>
      <c r="B39" s="76"/>
      <c r="C39" s="76"/>
      <c r="D39" s="76"/>
      <c r="E39" s="76"/>
      <c r="F39" s="76"/>
      <c r="G39" s="76" t="s">
        <v>143</v>
      </c>
      <c r="H39" s="81">
        <v>200</v>
      </c>
      <c r="I39" s="81">
        <v>297.5</v>
      </c>
      <c r="J39" s="81">
        <v>0</v>
      </c>
      <c r="K39" s="81">
        <v>0</v>
      </c>
      <c r="L39" s="81">
        <v>0</v>
      </c>
      <c r="M39" s="81">
        <v>325</v>
      </c>
      <c r="N39" s="77">
        <v>0</v>
      </c>
      <c r="O39" s="77">
        <v>0</v>
      </c>
      <c r="P39" s="77">
        <v>0</v>
      </c>
      <c r="Q39" s="77">
        <v>0</v>
      </c>
      <c r="R39" s="77"/>
      <c r="S39" s="77"/>
      <c r="T39" s="77">
        <f t="shared" si="7"/>
        <v>822.5</v>
      </c>
    </row>
    <row r="40" spans="1:23">
      <c r="A40" s="76"/>
      <c r="B40" s="76"/>
      <c r="C40" s="76"/>
      <c r="D40" s="76"/>
      <c r="E40" s="76"/>
      <c r="F40" s="76"/>
      <c r="G40" s="76" t="s">
        <v>31</v>
      </c>
      <c r="H40" s="81">
        <v>0</v>
      </c>
      <c r="I40" s="81">
        <v>0</v>
      </c>
      <c r="J40" s="81">
        <v>54325</v>
      </c>
      <c r="K40" s="81">
        <v>3487.85</v>
      </c>
      <c r="L40" s="81">
        <v>7500</v>
      </c>
      <c r="M40" s="81">
        <v>0</v>
      </c>
      <c r="N40" s="77">
        <v>0</v>
      </c>
      <c r="O40" s="77">
        <v>0</v>
      </c>
      <c r="P40" s="77">
        <v>0</v>
      </c>
      <c r="Q40" s="77">
        <v>0</v>
      </c>
      <c r="R40" s="77"/>
      <c r="S40" s="77"/>
      <c r="T40" s="77">
        <f t="shared" si="7"/>
        <v>65312.85</v>
      </c>
    </row>
    <row r="41" spans="1:23" ht="15" thickBot="1">
      <c r="A41" s="76"/>
      <c r="B41" s="76"/>
      <c r="C41" s="76"/>
      <c r="D41" s="76"/>
      <c r="E41" s="76"/>
      <c r="F41" s="76"/>
      <c r="G41" s="76" t="s">
        <v>32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2611.25</v>
      </c>
      <c r="O41" s="78">
        <v>0</v>
      </c>
      <c r="P41" s="78">
        <v>0</v>
      </c>
      <c r="Q41" s="78">
        <v>0</v>
      </c>
      <c r="R41" s="78"/>
      <c r="S41" s="78"/>
      <c r="T41" s="78">
        <f t="shared" si="7"/>
        <v>2611.25</v>
      </c>
    </row>
    <row r="42" spans="1:23" ht="15" thickBot="1">
      <c r="A42" s="76"/>
      <c r="B42" s="76"/>
      <c r="C42" s="76"/>
      <c r="D42" s="76"/>
      <c r="E42" s="76"/>
      <c r="F42" s="76" t="s">
        <v>33</v>
      </c>
      <c r="G42" s="76"/>
      <c r="H42" s="80">
        <f t="shared" ref="H42:S42" si="8">ROUND(SUM(H26:H41),5)</f>
        <v>13801.08</v>
      </c>
      <c r="I42" s="80">
        <f t="shared" si="8"/>
        <v>4012.18</v>
      </c>
      <c r="J42" s="80">
        <f t="shared" si="8"/>
        <v>76919.78</v>
      </c>
      <c r="K42" s="80">
        <f t="shared" si="8"/>
        <v>3487.85</v>
      </c>
      <c r="L42" s="80">
        <f t="shared" si="8"/>
        <v>6930</v>
      </c>
      <c r="M42" s="80">
        <f t="shared" si="8"/>
        <v>11175.72</v>
      </c>
      <c r="N42" s="80">
        <f t="shared" si="8"/>
        <v>16991.29</v>
      </c>
      <c r="O42" s="80">
        <f t="shared" si="8"/>
        <v>5</v>
      </c>
      <c r="P42" s="80">
        <f t="shared" si="8"/>
        <v>5565</v>
      </c>
      <c r="Q42" s="80">
        <f t="shared" si="8"/>
        <v>2660</v>
      </c>
      <c r="R42" s="80">
        <f t="shared" si="8"/>
        <v>0</v>
      </c>
      <c r="S42" s="80">
        <f t="shared" si="8"/>
        <v>0</v>
      </c>
      <c r="T42" s="80">
        <f t="shared" si="7"/>
        <v>141547.9</v>
      </c>
    </row>
    <row r="43" spans="1:23" ht="30" customHeight="1" thickBot="1">
      <c r="A43" s="76"/>
      <c r="B43" s="76"/>
      <c r="C43" s="76"/>
      <c r="D43" s="76"/>
      <c r="E43" s="76" t="s">
        <v>34</v>
      </c>
      <c r="F43" s="76"/>
      <c r="G43" s="76"/>
      <c r="H43" s="80">
        <f t="shared" ref="H43:S43" si="9">ROUND(H25+H42,5)</f>
        <v>13801.08</v>
      </c>
      <c r="I43" s="80">
        <f t="shared" si="9"/>
        <v>4012.18</v>
      </c>
      <c r="J43" s="80">
        <f t="shared" si="9"/>
        <v>76919.78</v>
      </c>
      <c r="K43" s="80">
        <f t="shared" si="9"/>
        <v>3487.85</v>
      </c>
      <c r="L43" s="80">
        <f t="shared" si="9"/>
        <v>6930</v>
      </c>
      <c r="M43" s="80">
        <f t="shared" si="9"/>
        <v>11175.72</v>
      </c>
      <c r="N43" s="80">
        <f t="shared" si="9"/>
        <v>16991.29</v>
      </c>
      <c r="O43" s="80">
        <f t="shared" si="9"/>
        <v>5</v>
      </c>
      <c r="P43" s="80">
        <f t="shared" si="9"/>
        <v>5565</v>
      </c>
      <c r="Q43" s="80">
        <f t="shared" si="9"/>
        <v>2660</v>
      </c>
      <c r="R43" s="80">
        <f t="shared" si="9"/>
        <v>0</v>
      </c>
      <c r="S43" s="80">
        <f t="shared" si="9"/>
        <v>0</v>
      </c>
      <c r="T43" s="80">
        <f t="shared" si="7"/>
        <v>141547.9</v>
      </c>
    </row>
    <row r="44" spans="1:23" ht="30" customHeight="1" thickBot="1">
      <c r="A44" s="76"/>
      <c r="B44" s="76"/>
      <c r="C44" s="76"/>
      <c r="D44" s="76" t="s">
        <v>35</v>
      </c>
      <c r="E44" s="76"/>
      <c r="F44" s="76"/>
      <c r="G44" s="76"/>
      <c r="H44" s="80">
        <f t="shared" ref="H44:S44" si="10">ROUND(H24+H43,5)</f>
        <v>13801.08</v>
      </c>
      <c r="I44" s="80">
        <f t="shared" si="10"/>
        <v>4012.18</v>
      </c>
      <c r="J44" s="80">
        <f t="shared" si="10"/>
        <v>76919.78</v>
      </c>
      <c r="K44" s="80">
        <f t="shared" si="10"/>
        <v>3487.85</v>
      </c>
      <c r="L44" s="80">
        <f t="shared" si="10"/>
        <v>6930</v>
      </c>
      <c r="M44" s="80">
        <f t="shared" si="10"/>
        <v>11175.72</v>
      </c>
      <c r="N44" s="80">
        <f t="shared" si="10"/>
        <v>16991.29</v>
      </c>
      <c r="O44" s="80">
        <f t="shared" si="10"/>
        <v>5</v>
      </c>
      <c r="P44" s="80">
        <f t="shared" si="10"/>
        <v>5565</v>
      </c>
      <c r="Q44" s="80">
        <f t="shared" si="10"/>
        <v>2660</v>
      </c>
      <c r="R44" s="80">
        <f t="shared" si="10"/>
        <v>0</v>
      </c>
      <c r="S44" s="80">
        <f t="shared" si="10"/>
        <v>0</v>
      </c>
      <c r="T44" s="80">
        <f t="shared" si="7"/>
        <v>141547.9</v>
      </c>
    </row>
    <row r="45" spans="1:23" ht="30" customHeight="1" thickBot="1">
      <c r="A45" s="76"/>
      <c r="B45" s="76" t="s">
        <v>36</v>
      </c>
      <c r="C45" s="76"/>
      <c r="D45" s="76"/>
      <c r="E45" s="76"/>
      <c r="F45" s="76"/>
      <c r="G45" s="76"/>
      <c r="H45" s="80">
        <f t="shared" ref="H45:S45" si="11">ROUND(H6+H23-H44,5)</f>
        <v>51678.44</v>
      </c>
      <c r="I45" s="80">
        <f t="shared" si="11"/>
        <v>0</v>
      </c>
      <c r="J45" s="80">
        <f t="shared" si="11"/>
        <v>-19519.78</v>
      </c>
      <c r="K45" s="80">
        <f t="shared" si="11"/>
        <v>-2487.85</v>
      </c>
      <c r="L45" s="80">
        <f t="shared" si="11"/>
        <v>-8345.9</v>
      </c>
      <c r="M45" s="80">
        <f t="shared" si="11"/>
        <v>0</v>
      </c>
      <c r="N45" s="80">
        <f t="shared" si="11"/>
        <v>24391.69</v>
      </c>
      <c r="O45" s="80">
        <f t="shared" si="11"/>
        <v>-424.36</v>
      </c>
      <c r="P45" s="80">
        <f t="shared" si="11"/>
        <v>-5750</v>
      </c>
      <c r="Q45" s="80">
        <f t="shared" si="11"/>
        <v>0</v>
      </c>
      <c r="R45" s="80">
        <f t="shared" si="11"/>
        <v>2409.58</v>
      </c>
      <c r="S45" s="80">
        <f t="shared" si="11"/>
        <v>30.28</v>
      </c>
      <c r="T45" s="80">
        <f t="shared" si="7"/>
        <v>39542.239999999998</v>
      </c>
    </row>
    <row r="46" spans="1:23" s="83" customFormat="1" ht="30" customHeight="1" thickBot="1">
      <c r="A46" s="76" t="s">
        <v>37</v>
      </c>
      <c r="B46" s="76"/>
      <c r="C46" s="76"/>
      <c r="D46" s="76"/>
      <c r="E46" s="76"/>
      <c r="F46" s="76"/>
      <c r="G46" s="76"/>
      <c r="H46" s="82">
        <f t="shared" ref="H46:S46" si="12">H45</f>
        <v>51678.44</v>
      </c>
      <c r="I46" s="82">
        <f t="shared" si="12"/>
        <v>0</v>
      </c>
      <c r="J46" s="82">
        <f t="shared" si="12"/>
        <v>-19519.78</v>
      </c>
      <c r="K46" s="82">
        <f t="shared" si="12"/>
        <v>-2487.85</v>
      </c>
      <c r="L46" s="82">
        <f t="shared" si="12"/>
        <v>-8345.9</v>
      </c>
      <c r="M46" s="82">
        <f t="shared" si="12"/>
        <v>0</v>
      </c>
      <c r="N46" s="82">
        <f t="shared" si="12"/>
        <v>24391.69</v>
      </c>
      <c r="O46" s="82">
        <f t="shared" si="12"/>
        <v>-424.36</v>
      </c>
      <c r="P46" s="82">
        <f t="shared" si="12"/>
        <v>-5750</v>
      </c>
      <c r="Q46" s="82">
        <f t="shared" si="12"/>
        <v>0</v>
      </c>
      <c r="R46" s="82">
        <f t="shared" si="12"/>
        <v>2409.58</v>
      </c>
      <c r="S46" s="82">
        <f t="shared" si="12"/>
        <v>30.28</v>
      </c>
      <c r="T46" s="82">
        <f t="shared" si="7"/>
        <v>39542.239999999998</v>
      </c>
    </row>
    <row r="47" spans="1:23" s="27" customFormat="1" ht="16.75" customHeight="1" thickTop="1" thickBot="1">
      <c r="A47" s="25"/>
      <c r="B47" s="25"/>
      <c r="C47" s="25"/>
      <c r="D47" s="25"/>
      <c r="E47" s="25"/>
      <c r="F47" s="25"/>
      <c r="G47" s="73" t="s">
        <v>144</v>
      </c>
      <c r="H47" s="74">
        <f>+H5+H22-H44</f>
        <v>114813.45</v>
      </c>
      <c r="I47" s="74">
        <f t="shared" ref="I47:S47" si="13">+I5+I22-I44</f>
        <v>0</v>
      </c>
      <c r="J47" s="74">
        <f t="shared" si="13"/>
        <v>52480.22</v>
      </c>
      <c r="K47" s="74">
        <f t="shared" si="13"/>
        <v>2760.3799999999997</v>
      </c>
      <c r="L47" s="74">
        <f t="shared" si="13"/>
        <v>0</v>
      </c>
      <c r="M47" s="74">
        <f t="shared" si="13"/>
        <v>0</v>
      </c>
      <c r="N47" s="74">
        <f t="shared" si="13"/>
        <v>0</v>
      </c>
      <c r="O47" s="74">
        <f t="shared" si="13"/>
        <v>5.6843418860808015E-13</v>
      </c>
      <c r="P47" s="74">
        <f t="shared" si="13"/>
        <v>0</v>
      </c>
      <c r="Q47" s="74">
        <f t="shared" si="13"/>
        <v>0</v>
      </c>
      <c r="R47" s="74">
        <f t="shared" si="13"/>
        <v>0</v>
      </c>
      <c r="S47" s="74">
        <f t="shared" si="13"/>
        <v>0</v>
      </c>
      <c r="T47" s="74">
        <f>SUM(H47:S47)</f>
        <v>170054.05</v>
      </c>
      <c r="V47" s="75">
        <f>-150+150</f>
        <v>0</v>
      </c>
      <c r="W47" s="75">
        <f>-18361.46+18361.46</f>
        <v>0</v>
      </c>
    </row>
    <row r="48" spans="1:23" ht="15" thickTop="1">
      <c r="T48" s="85"/>
    </row>
    <row r="49" spans="7:22" customFormat="1">
      <c r="G49" s="86"/>
      <c r="H49" s="68"/>
      <c r="I49" s="67"/>
      <c r="J49" s="68"/>
      <c r="K49" s="68"/>
      <c r="L49" s="68"/>
      <c r="M49" s="67"/>
      <c r="N49" s="67"/>
      <c r="O49" s="67"/>
      <c r="P49" s="68"/>
      <c r="Q49" s="67"/>
      <c r="R49" s="67"/>
      <c r="S49" s="67"/>
      <c r="T49" s="67"/>
    </row>
    <row r="50" spans="7:22" customFormat="1">
      <c r="G50" s="84"/>
      <c r="H50" s="68"/>
      <c r="I50" s="68"/>
      <c r="J50" s="68"/>
      <c r="K50" s="68"/>
      <c r="L50" s="68"/>
      <c r="M50" s="68"/>
      <c r="N50" s="42"/>
      <c r="O50" s="43"/>
      <c r="P50" s="43"/>
      <c r="Q50" s="43"/>
      <c r="R50" s="43"/>
      <c r="S50" s="43"/>
      <c r="T50" s="44"/>
    </row>
    <row r="51" spans="7:22" customFormat="1">
      <c r="G51" s="84"/>
      <c r="H51" s="68"/>
      <c r="I51" s="68"/>
      <c r="J51" s="68"/>
      <c r="K51" s="68"/>
      <c r="L51" s="68"/>
      <c r="M51" s="68"/>
      <c r="N51" s="45" t="s">
        <v>112</v>
      </c>
      <c r="O51" s="41"/>
      <c r="P51" s="46"/>
      <c r="Q51" s="41"/>
      <c r="R51" s="41"/>
      <c r="S51" s="46"/>
      <c r="T51" s="87">
        <f>+H47</f>
        <v>114813.45</v>
      </c>
      <c r="V51" s="67">
        <f>+T51+60000</f>
        <v>174813.45</v>
      </c>
    </row>
    <row r="52" spans="7:22" customFormat="1">
      <c r="G52" s="84"/>
      <c r="H52" s="68"/>
      <c r="I52" s="68"/>
      <c r="J52" s="88"/>
      <c r="K52" s="68"/>
      <c r="L52" s="68"/>
      <c r="M52" s="68"/>
      <c r="N52" s="45"/>
      <c r="O52" s="41"/>
      <c r="P52" s="41"/>
      <c r="Q52" s="41"/>
      <c r="R52" s="41"/>
      <c r="S52" s="41"/>
      <c r="T52" s="48"/>
    </row>
    <row r="53" spans="7:22" customFormat="1">
      <c r="G53" s="84"/>
      <c r="H53" s="68"/>
      <c r="I53" s="68"/>
      <c r="J53" s="68"/>
      <c r="K53" s="68"/>
      <c r="L53" s="68"/>
      <c r="M53" s="68"/>
      <c r="N53" s="45" t="s">
        <v>113</v>
      </c>
      <c r="O53" s="41"/>
      <c r="P53" s="41"/>
      <c r="Q53" s="41"/>
      <c r="R53" s="41"/>
      <c r="S53" s="41"/>
      <c r="T53" s="48"/>
    </row>
    <row r="54" spans="7:22" customFormat="1">
      <c r="G54" s="84"/>
      <c r="H54" s="68"/>
      <c r="I54" s="68"/>
      <c r="J54" s="88"/>
      <c r="K54" s="68"/>
      <c r="L54" s="68"/>
      <c r="M54" s="68"/>
      <c r="N54" s="49" t="s">
        <v>2</v>
      </c>
      <c r="O54" s="50"/>
      <c r="P54" s="50"/>
      <c r="Q54" s="50"/>
      <c r="R54" s="50"/>
      <c r="S54" s="50"/>
      <c r="T54" s="51">
        <f>+J47</f>
        <v>52480.22</v>
      </c>
    </row>
    <row r="55" spans="7:22" customFormat="1">
      <c r="G55" s="84"/>
      <c r="H55" s="68"/>
      <c r="I55" s="68"/>
      <c r="J55" s="68"/>
      <c r="K55" s="68"/>
      <c r="L55" s="68"/>
      <c r="M55" s="68"/>
      <c r="N55" s="49" t="s">
        <v>3</v>
      </c>
      <c r="O55" s="50"/>
      <c r="P55" s="50"/>
      <c r="Q55" s="50"/>
      <c r="R55" s="50"/>
      <c r="S55" s="50"/>
      <c r="T55" s="51">
        <f>+K47</f>
        <v>2760.3799999999997</v>
      </c>
    </row>
    <row r="56" spans="7:22" customFormat="1">
      <c r="G56" s="84"/>
      <c r="H56" s="68"/>
      <c r="I56" s="68"/>
      <c r="J56" s="67"/>
      <c r="K56" s="68"/>
      <c r="L56" s="68"/>
      <c r="M56" s="68"/>
      <c r="N56" s="49" t="s">
        <v>4</v>
      </c>
      <c r="O56" s="50"/>
      <c r="P56" s="50"/>
      <c r="Q56" s="50"/>
      <c r="R56" s="50"/>
      <c r="S56" s="50"/>
      <c r="T56" s="51">
        <f>+L47</f>
        <v>0</v>
      </c>
    </row>
    <row r="57" spans="7:22" customFormat="1">
      <c r="G57" s="84"/>
      <c r="H57" s="68"/>
      <c r="I57" s="68"/>
      <c r="J57" s="68"/>
      <c r="K57" s="68"/>
      <c r="L57" s="68"/>
      <c r="M57" s="68"/>
      <c r="N57" s="49" t="s">
        <v>8</v>
      </c>
      <c r="O57" s="50"/>
      <c r="P57" s="89"/>
      <c r="Q57" s="50"/>
      <c r="R57" s="50"/>
      <c r="S57" s="89"/>
      <c r="T57" s="47">
        <f>+P47</f>
        <v>0</v>
      </c>
    </row>
    <row r="58" spans="7:22" customFormat="1">
      <c r="G58" s="84"/>
      <c r="H58" s="68"/>
      <c r="I58" s="68"/>
      <c r="J58" s="68"/>
      <c r="K58" s="68"/>
      <c r="L58" s="68"/>
      <c r="M58" s="68"/>
      <c r="N58" s="49" t="s">
        <v>114</v>
      </c>
      <c r="O58" s="50"/>
      <c r="P58" s="89"/>
      <c r="Q58" s="50"/>
      <c r="R58" s="50"/>
      <c r="S58" s="89"/>
      <c r="T58" s="47">
        <f>+N47</f>
        <v>0</v>
      </c>
    </row>
    <row r="59" spans="7:22" customFormat="1">
      <c r="G59" s="84"/>
      <c r="H59" s="68"/>
      <c r="I59" s="68"/>
      <c r="J59" s="68"/>
      <c r="K59" s="68"/>
      <c r="L59" s="68"/>
      <c r="M59" s="68"/>
      <c r="N59" s="49" t="s">
        <v>123</v>
      </c>
      <c r="O59" s="50"/>
      <c r="P59" s="89"/>
      <c r="Q59" s="50"/>
      <c r="R59" s="50"/>
      <c r="S59" s="89"/>
      <c r="T59" s="47">
        <f>+Q47</f>
        <v>0</v>
      </c>
    </row>
    <row r="60" spans="7:22" customFormat="1">
      <c r="G60" s="84"/>
      <c r="H60" s="68"/>
      <c r="I60" s="68"/>
      <c r="J60" s="68"/>
      <c r="K60" s="68"/>
      <c r="L60" s="68"/>
      <c r="M60" s="68"/>
      <c r="N60" s="49" t="s">
        <v>122</v>
      </c>
      <c r="O60" s="50"/>
      <c r="P60" s="89"/>
      <c r="Q60" s="50"/>
      <c r="R60" s="50"/>
      <c r="S60" s="89"/>
      <c r="T60" s="47">
        <f>+O47</f>
        <v>5.6843418860808015E-13</v>
      </c>
    </row>
    <row r="61" spans="7:22" customFormat="1">
      <c r="G61" s="84"/>
      <c r="H61" s="68"/>
      <c r="I61" s="68"/>
      <c r="J61" s="68"/>
      <c r="K61" s="68"/>
      <c r="L61" s="68"/>
      <c r="M61" s="68"/>
      <c r="N61" s="49" t="s">
        <v>115</v>
      </c>
      <c r="O61" s="50"/>
      <c r="P61" s="89"/>
      <c r="Q61" s="50"/>
      <c r="R61" s="50"/>
      <c r="S61" s="89"/>
      <c r="T61" s="47">
        <f>+M47</f>
        <v>0</v>
      </c>
    </row>
    <row r="62" spans="7:22" customFormat="1">
      <c r="G62" s="84"/>
      <c r="H62" s="68"/>
      <c r="I62" s="68"/>
      <c r="J62" s="68"/>
      <c r="K62" s="68"/>
      <c r="L62" s="68"/>
      <c r="M62" s="68"/>
      <c r="N62" s="49" t="s">
        <v>145</v>
      </c>
      <c r="O62" s="50"/>
      <c r="P62" s="89"/>
      <c r="Q62" s="50"/>
      <c r="R62" s="50"/>
      <c r="S62" s="89"/>
      <c r="T62" s="47">
        <f>+I47</f>
        <v>0</v>
      </c>
    </row>
    <row r="63" spans="7:22" customFormat="1">
      <c r="G63" s="84"/>
      <c r="H63" s="68"/>
      <c r="I63" s="68"/>
      <c r="J63" s="68"/>
      <c r="K63" s="68"/>
      <c r="L63" s="68"/>
      <c r="M63" s="68"/>
      <c r="N63" s="90" t="s">
        <v>125</v>
      </c>
      <c r="O63" s="50"/>
      <c r="P63" s="89"/>
      <c r="Q63" s="50"/>
      <c r="R63" s="50"/>
      <c r="S63" s="89"/>
      <c r="T63" s="91">
        <f>+S47</f>
        <v>0</v>
      </c>
    </row>
    <row r="64" spans="7:22" customFormat="1">
      <c r="G64" s="84"/>
      <c r="H64" s="68"/>
      <c r="I64" s="68"/>
      <c r="J64" s="68"/>
      <c r="K64" s="68"/>
      <c r="L64" s="68"/>
      <c r="M64" s="68"/>
      <c r="N64" s="90" t="s">
        <v>124</v>
      </c>
      <c r="O64" s="50"/>
      <c r="P64" s="89"/>
      <c r="Q64" s="50"/>
      <c r="R64" s="50"/>
      <c r="S64" s="89"/>
      <c r="T64" s="91">
        <f>+R47</f>
        <v>0</v>
      </c>
    </row>
    <row r="65" spans="1:21">
      <c r="N65" s="49"/>
      <c r="O65" s="50"/>
      <c r="P65" s="89"/>
      <c r="Q65" s="50"/>
      <c r="R65" s="50"/>
      <c r="S65" s="89"/>
      <c r="T65" s="47"/>
    </row>
    <row r="66" spans="1:21">
      <c r="N66" s="45" t="s">
        <v>116</v>
      </c>
      <c r="O66" s="41"/>
      <c r="P66" s="41"/>
      <c r="Q66" s="41"/>
      <c r="R66" s="41"/>
      <c r="S66" s="41"/>
      <c r="T66" s="51"/>
    </row>
    <row r="67" spans="1:21">
      <c r="N67" s="45" t="s">
        <v>146</v>
      </c>
      <c r="O67" s="41"/>
      <c r="P67" s="41"/>
      <c r="Q67" s="45"/>
      <c r="R67" s="41"/>
      <c r="S67" s="41"/>
      <c r="T67" s="53">
        <f>+SUM(T51:T66)</f>
        <v>170054.05</v>
      </c>
    </row>
    <row r="68" spans="1:21">
      <c r="L68" s="92"/>
      <c r="M68" s="92"/>
      <c r="N68" s="57"/>
      <c r="O68" s="58"/>
      <c r="P68" s="58"/>
      <c r="Q68" s="58"/>
      <c r="R68" s="58"/>
      <c r="S68" s="58"/>
      <c r="T68" s="60"/>
      <c r="U68" s="93"/>
    </row>
    <row r="69" spans="1:21">
      <c r="L69" s="92"/>
      <c r="M69" s="92"/>
      <c r="N69" s="92"/>
      <c r="O69" s="92"/>
      <c r="P69" s="92"/>
      <c r="Q69" s="55"/>
      <c r="R69" s="55"/>
      <c r="S69" s="41"/>
      <c r="T69" s="55"/>
      <c r="U69" s="93"/>
    </row>
    <row r="70" spans="1:21">
      <c r="L70" s="92"/>
      <c r="M70" s="92"/>
      <c r="N70" s="92"/>
      <c r="O70" s="92"/>
      <c r="P70" s="92"/>
      <c r="Q70" s="55"/>
      <c r="R70" s="55"/>
      <c r="S70" s="41"/>
      <c r="T70" s="55"/>
      <c r="U70" s="93"/>
    </row>
    <row r="71" spans="1:21">
      <c r="L71" s="92"/>
      <c r="M71" s="92"/>
      <c r="N71" s="92"/>
      <c r="O71" s="92"/>
      <c r="P71" s="92"/>
      <c r="Q71" s="92"/>
      <c r="R71" s="92"/>
      <c r="S71" s="92"/>
      <c r="T71" s="92"/>
      <c r="U71" s="93"/>
    </row>
    <row r="72" spans="1:21" s="99" customFormat="1" ht="12">
      <c r="A72" s="94"/>
      <c r="B72" s="94"/>
      <c r="C72" s="94"/>
      <c r="D72" s="94"/>
      <c r="E72" s="94"/>
      <c r="F72" s="94"/>
      <c r="G72" s="95" t="s">
        <v>147</v>
      </c>
      <c r="H72" s="96">
        <f>-SUM(I72:S72)</f>
        <v>-53971.380000000005</v>
      </c>
      <c r="I72" s="97">
        <v>4012.18</v>
      </c>
      <c r="J72" s="98"/>
      <c r="K72" s="98"/>
      <c r="L72" s="98"/>
      <c r="M72" s="97">
        <v>11175.72</v>
      </c>
      <c r="N72" s="97">
        <v>36282.980000000003</v>
      </c>
      <c r="O72" s="97">
        <v>-419.36</v>
      </c>
      <c r="P72" s="98"/>
      <c r="Q72" s="97">
        <f>2000-1520</f>
        <v>480</v>
      </c>
      <c r="R72" s="97">
        <v>2409.58</v>
      </c>
      <c r="S72" s="97">
        <v>30.28</v>
      </c>
      <c r="T72" s="97">
        <f>ROUND(SUM(H72:S72),5)</f>
        <v>0</v>
      </c>
    </row>
    <row r="73" spans="1:21">
      <c r="G73" s="95" t="s">
        <v>147</v>
      </c>
      <c r="H73" s="96">
        <f>-SUM(I73:S73)</f>
        <v>-24100.9</v>
      </c>
      <c r="I73" s="96"/>
      <c r="J73" s="96">
        <v>0</v>
      </c>
      <c r="K73" s="96"/>
      <c r="L73" s="96">
        <v>19415.900000000001</v>
      </c>
      <c r="M73" s="96"/>
      <c r="N73" s="96"/>
      <c r="O73" s="96"/>
      <c r="P73" s="96">
        <v>4685</v>
      </c>
      <c r="Q73" s="96"/>
      <c r="R73" s="96"/>
      <c r="S73" s="96"/>
      <c r="T73" s="97">
        <f>ROUND(SUM(H73:S73),5)</f>
        <v>0</v>
      </c>
    </row>
    <row r="74" spans="1:21">
      <c r="G74" s="95" t="s">
        <v>148</v>
      </c>
      <c r="H74" s="96">
        <f>-SUM(I74:S74)</f>
        <v>-17000</v>
      </c>
      <c r="I74" s="96"/>
      <c r="J74" s="96">
        <v>17000</v>
      </c>
      <c r="K74" s="96"/>
      <c r="T74" s="97">
        <f>ROUND(SUM(H74:S74),5)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TMC YTD 2015 by Month</vt:lpstr>
      <vt:lpstr>TMC YTD 2015 by Project</vt:lpstr>
      <vt:lpstr>2015 Detail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2015-04-22T21:41:23Z</dcterms:created>
  <dcterms:modified xsi:type="dcterms:W3CDTF">2015-05-04T04:05:59Z</dcterms:modified>
</cp:coreProperties>
</file>