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-20" yWindow="-20" windowWidth="32420" windowHeight="15620"/>
  </bookViews>
  <sheets>
    <sheet name="2014" sheetId="1" r:id="rId1"/>
  </sheets>
  <definedNames>
    <definedName name="QBCANSUPPORTUPDATE" localSheetId="0">FALSE</definedName>
    <definedName name="QBCOMPANYFILENAME" localSheetId="0">"Z:\Mother Jones\Mother Jones Magazine.QBW"</definedName>
    <definedName name="QBENDDATE" localSheetId="0">20141231</definedName>
    <definedName name="QBHEADERSONSCREEN" localSheetId="0">TRUE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19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3" i="1"/>
  <c r="H14" i="1"/>
  <c r="H15" i="1"/>
  <c r="H21" i="1"/>
  <c r="H22" i="1"/>
  <c r="H23" i="1"/>
  <c r="H28" i="1"/>
  <c r="H42" i="1"/>
  <c r="H43" i="1"/>
  <c r="H44" i="1"/>
  <c r="H45" i="1"/>
  <c r="I14" i="1"/>
  <c r="I15" i="1"/>
  <c r="I21" i="1"/>
  <c r="I22" i="1"/>
  <c r="I23" i="1"/>
  <c r="I42" i="1"/>
  <c r="I43" i="1"/>
  <c r="I44" i="1"/>
  <c r="I45" i="1"/>
  <c r="J14" i="1"/>
  <c r="J15" i="1"/>
  <c r="J21" i="1"/>
  <c r="J22" i="1"/>
  <c r="J23" i="1"/>
  <c r="J42" i="1"/>
  <c r="J43" i="1"/>
  <c r="J44" i="1"/>
  <c r="J45" i="1"/>
  <c r="K14" i="1"/>
  <c r="K15" i="1"/>
  <c r="K21" i="1"/>
  <c r="K22" i="1"/>
  <c r="K23" i="1"/>
  <c r="K42" i="1"/>
  <c r="K43" i="1"/>
  <c r="K44" i="1"/>
  <c r="K45" i="1"/>
  <c r="L14" i="1"/>
  <c r="L15" i="1"/>
  <c r="L21" i="1"/>
  <c r="L22" i="1"/>
  <c r="L23" i="1"/>
  <c r="L42" i="1"/>
  <c r="L43" i="1"/>
  <c r="L44" i="1"/>
  <c r="L45" i="1"/>
  <c r="M14" i="1"/>
  <c r="M15" i="1"/>
  <c r="M21" i="1"/>
  <c r="M22" i="1"/>
  <c r="M23" i="1"/>
  <c r="M42" i="1"/>
  <c r="M43" i="1"/>
  <c r="M44" i="1"/>
  <c r="M45" i="1"/>
  <c r="N14" i="1"/>
  <c r="N15" i="1"/>
  <c r="N21" i="1"/>
  <c r="N22" i="1"/>
  <c r="N23" i="1"/>
  <c r="N42" i="1"/>
  <c r="N43" i="1"/>
  <c r="N44" i="1"/>
  <c r="N45" i="1"/>
  <c r="O14" i="1"/>
  <c r="O15" i="1"/>
  <c r="O21" i="1"/>
  <c r="O22" i="1"/>
  <c r="O23" i="1"/>
  <c r="O42" i="1"/>
  <c r="O43" i="1"/>
  <c r="O44" i="1"/>
  <c r="O45" i="1"/>
  <c r="P14" i="1"/>
  <c r="P15" i="1"/>
  <c r="P21" i="1"/>
  <c r="P22" i="1"/>
  <c r="P23" i="1"/>
  <c r="P42" i="1"/>
  <c r="P43" i="1"/>
  <c r="P44" i="1"/>
  <c r="P45" i="1"/>
  <c r="Q10" i="1"/>
  <c r="Q14" i="1"/>
  <c r="Q15" i="1"/>
  <c r="Q21" i="1"/>
  <c r="Q22" i="1"/>
  <c r="Q23" i="1"/>
  <c r="Q42" i="1"/>
  <c r="Q43" i="1"/>
  <c r="Q44" i="1"/>
  <c r="Q45" i="1"/>
  <c r="R14" i="1"/>
  <c r="R15" i="1"/>
  <c r="R21" i="1"/>
  <c r="R22" i="1"/>
  <c r="R23" i="1"/>
  <c r="R42" i="1"/>
  <c r="R43" i="1"/>
  <c r="R44" i="1"/>
  <c r="R45" i="1"/>
  <c r="S14" i="1"/>
  <c r="S15" i="1"/>
  <c r="S21" i="1"/>
  <c r="S22" i="1"/>
  <c r="S23" i="1"/>
  <c r="S42" i="1"/>
  <c r="S43" i="1"/>
  <c r="S44" i="1"/>
  <c r="S45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X16" i="1"/>
  <c r="X15" i="1"/>
  <c r="X18" i="1"/>
  <c r="O47" i="1"/>
  <c r="H84" i="1"/>
  <c r="T84" i="1"/>
  <c r="H83" i="1"/>
  <c r="T83" i="1"/>
  <c r="Q82" i="1"/>
  <c r="H82" i="1"/>
  <c r="T82" i="1"/>
  <c r="W47" i="1"/>
  <c r="V47" i="1"/>
  <c r="W5" i="1"/>
  <c r="V5" i="1"/>
  <c r="M5" i="1"/>
  <c r="I5" i="1"/>
  <c r="I47" i="1"/>
  <c r="T62" i="1"/>
  <c r="H5" i="1"/>
  <c r="R47" i="1"/>
  <c r="T64" i="1"/>
  <c r="Q47" i="1"/>
  <c r="T59" i="1"/>
  <c r="J47" i="1"/>
  <c r="T54" i="1"/>
  <c r="K47" i="1"/>
  <c r="T55" i="1"/>
  <c r="S47" i="1"/>
  <c r="T63" i="1"/>
  <c r="M47" i="1"/>
  <c r="T61" i="1"/>
  <c r="N47" i="1"/>
  <c r="T58" i="1"/>
  <c r="L47" i="1"/>
  <c r="T56" i="1"/>
  <c r="P47" i="1"/>
  <c r="T57" i="1"/>
  <c r="T60" i="1"/>
  <c r="T5" i="1"/>
  <c r="H47" i="1"/>
  <c r="T47" i="1"/>
  <c r="T51" i="1"/>
  <c r="T67" i="1"/>
</calcChain>
</file>

<file path=xl/sharedStrings.xml><?xml version="1.0" encoding="utf-8"?>
<sst xmlns="http://schemas.openxmlformats.org/spreadsheetml/2006/main" count="79" uniqueCount="70">
  <si>
    <t>Mother Jones Magazine</t>
  </si>
  <si>
    <t>Profit &amp; Loss - TMC</t>
  </si>
  <si>
    <t>January through December 2014</t>
  </si>
  <si>
    <t>TMC</t>
  </si>
  <si>
    <t>TMC-CONF</t>
  </si>
  <si>
    <t>TMC-IILABS-Metrics</t>
  </si>
  <si>
    <t>TMC-Kauai</t>
  </si>
  <si>
    <t>TMC Collab-Media Policy Project</t>
  </si>
  <si>
    <t>TMC Communications/Outreach</t>
  </si>
  <si>
    <t>TMC Meetings - Annual</t>
  </si>
  <si>
    <t>TMC Repro Justice</t>
  </si>
  <si>
    <t>TMC Vocus</t>
  </si>
  <si>
    <t>TMC What Counts</t>
  </si>
  <si>
    <t>TMC CJTI</t>
  </si>
  <si>
    <t>TMC-IILABS-LF Journal</t>
  </si>
  <si>
    <t>Total</t>
  </si>
  <si>
    <t>TMC Intern - House</t>
  </si>
  <si>
    <t>TMC Meetings - Regional</t>
  </si>
  <si>
    <t>GRANT BALANCE AS OF 01/01/2014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</si>
  <si>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</si>
  <si>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</si>
  <si>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</si>
  <si>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</si>
  <si>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</si>
  <si>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</si>
  <si>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</si>
  <si>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</si>
  <si>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</si>
  <si>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</si>
  <si>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</si>
  <si>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1714108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</si>
  <si>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</si>
  <si>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</si>
  <si>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</si>
  <si>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</si>
  <si>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</si>
  <si>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</si>
  <si>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</si>
  <si>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</si>
  <si>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</si>
  <si>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</si>
  <si>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</si>
  <si>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</si>
  <si>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</si>
  <si>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</si>
  <si>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1715763 · TMC Hard/Software Non Cap</t>
  </si>
  <si>
    <t>1715766 · TMC Software licensing</t>
  </si>
  <si>
    <t>1715768 · TMC Miscellaneous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</si>
  <si>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</si>
  <si>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</si>
  <si>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</si>
  <si>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</si>
  <si>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</si>
  <si>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</si>
  <si>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</si>
  <si>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</si>
  <si>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</si>
  <si>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</si>
  <si>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</si>
  <si>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</si>
  <si>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GRANT BALANCE AS OF 12/31/2014</t>
  </si>
  <si>
    <t>UNRESTRICTED GRANT BALANCE</t>
  </si>
  <si>
    <t>RESTRICTED PROJECTS WITH FUNDS</t>
  </si>
  <si>
    <t>TMC Meetings Annual</t>
  </si>
  <si>
    <t>TMC-Communications/Outreach</t>
  </si>
  <si>
    <t>TMC CONF</t>
  </si>
  <si>
    <t>UNRESTRICTED GRANTS USED BY PROJECTS</t>
  </si>
  <si>
    <r>
      <t xml:space="preserve"> </t>
    </r>
    <r>
      <rPr>
        <b/>
        <sz val="10"/>
        <color rgb="FFFF0000"/>
        <rFont val="Arial"/>
        <family val="2"/>
      </rPr>
      <t xml:space="preserve"> TOTAL Grant Balance as of 12/31/2014</t>
    </r>
  </si>
  <si>
    <t xml:space="preserve">Reclass releases to projects :  </t>
  </si>
  <si>
    <t xml:space="preserve">Reclass personnel to projects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</si>
</sst>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1"/>
      <color rgb="FF000000"/>
      <name val="Arial"/>
      <family val="2"/>
    </font>
    <font>
      <b/>
      <sz val="11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4" fontId="0" fillId="0" borderId="0" xfId="0" applyNumberFormat="1"/>
    <xf numFmtId="0" fontId="0" fillId="0" borderId="0" xfId="0" applyNumberFormat="1"/>
    <xf numFmtId="164" fontId="4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3" fontId="7" fillId="0" borderId="1" xfId="1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10" fillId="0" borderId="0" xfId="0" applyNumberFormat="1" applyFont="1" applyBorder="1"/>
    <xf numFmtId="44" fontId="11" fillId="0" borderId="2" xfId="2" applyNumberFormat="1" applyFont="1" applyBorder="1"/>
    <xf numFmtId="44" fontId="11" fillId="0" borderId="2" xfId="2" applyFont="1" applyBorder="1"/>
    <xf numFmtId="49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Border="1"/>
    <xf numFmtId="165" fontId="12" fillId="0" borderId="3" xfId="0" applyNumberFormat="1" applyFont="1" applyBorder="1"/>
    <xf numFmtId="165" fontId="12" fillId="0" borderId="4" xfId="0" applyNumberFormat="1" applyFont="1" applyBorder="1"/>
    <xf numFmtId="165" fontId="12" fillId="0" borderId="0" xfId="0" applyNumberFormat="1" applyFont="1" applyFill="1"/>
    <xf numFmtId="165" fontId="3" fillId="0" borderId="5" xfId="0" applyNumberFormat="1" applyFont="1" applyBorder="1"/>
    <xf numFmtId="0" fontId="3" fillId="0" borderId="0" xfId="0" applyFont="1"/>
    <xf numFmtId="0" fontId="3" fillId="0" borderId="0" xfId="0" applyNumberFormat="1" applyFont="1"/>
    <xf numFmtId="43" fontId="0" fillId="0" borderId="0" xfId="1" applyFont="1"/>
    <xf numFmtId="44" fontId="13" fillId="0" borderId="6" xfId="2" applyFont="1" applyBorder="1"/>
    <xf numFmtId="44" fontId="13" fillId="0" borderId="7" xfId="2" applyFont="1" applyBorder="1"/>
    <xf numFmtId="0" fontId="13" fillId="0" borderId="8" xfId="0" applyFont="1" applyBorder="1"/>
    <xf numFmtId="0" fontId="7" fillId="0" borderId="9" xfId="0" applyNumberFormat="1" applyFont="1" applyBorder="1"/>
    <xf numFmtId="0" fontId="7" fillId="0" borderId="0" xfId="0" applyNumberFormat="1" applyFont="1" applyBorder="1"/>
    <xf numFmtId="0" fontId="14" fillId="0" borderId="0" xfId="0" applyNumberFormat="1" applyFont="1" applyBorder="1" applyAlignment="1"/>
    <xf numFmtId="44" fontId="15" fillId="0" borderId="10" xfId="0" applyNumberFormat="1" applyFont="1" applyBorder="1"/>
    <xf numFmtId="0" fontId="13" fillId="0" borderId="10" xfId="0" applyFont="1" applyBorder="1"/>
    <xf numFmtId="0" fontId="16" fillId="0" borderId="9" xfId="0" applyNumberFormat="1" applyFont="1" applyBorder="1"/>
    <xf numFmtId="0" fontId="16" fillId="0" borderId="0" xfId="0" applyNumberFormat="1" applyFont="1" applyBorder="1"/>
    <xf numFmtId="44" fontId="13" fillId="0" borderId="10" xfId="0" applyNumberFormat="1" applyFont="1" applyBorder="1"/>
    <xf numFmtId="0" fontId="17" fillId="0" borderId="0" xfId="0" applyNumberFormat="1" applyFont="1" applyBorder="1"/>
    <xf numFmtId="44" fontId="17" fillId="0" borderId="10" xfId="0" applyNumberFormat="1" applyFont="1" applyBorder="1"/>
    <xf numFmtId="44" fontId="11" fillId="0" borderId="10" xfId="0" applyNumberFormat="1" applyFont="1" applyBorder="1"/>
    <xf numFmtId="0" fontId="0" fillId="0" borderId="0" xfId="0" applyNumberFormat="1" applyBorder="1"/>
    <xf numFmtId="0" fontId="13" fillId="0" borderId="11" xfId="0" applyNumberFormat="1" applyFont="1" applyBorder="1"/>
    <xf numFmtId="0" fontId="13" fillId="0" borderId="12" xfId="0" applyNumberFormat="1" applyFont="1" applyBorder="1"/>
    <xf numFmtId="0" fontId="13" fillId="0" borderId="13" xfId="0" applyNumberFormat="1" applyFont="1" applyBorder="1"/>
    <xf numFmtId="0" fontId="0" fillId="0" borderId="0" xfId="0" applyBorder="1"/>
    <xf numFmtId="0" fontId="13" fillId="0" borderId="0" xfId="0" applyNumberFormat="1" applyFont="1" applyBorder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0" fontId="19" fillId="0" borderId="0" xfId="0" applyNumberFormat="1" applyFont="1"/>
    <xf numFmtId="44" fontId="19" fillId="0" borderId="0" xfId="0" applyNumberFormat="1" applyFont="1"/>
    <xf numFmtId="0" fontId="19" fillId="0" borderId="0" xfId="0" applyFont="1"/>
    <xf numFmtId="44" fontId="19" fillId="0" borderId="0" xfId="2" applyFont="1"/>
    <xf numFmtId="0" fontId="20" fillId="0" borderId="9" xfId="0" applyNumberFormat="1" applyFont="1" applyBorder="1"/>
    <xf numFmtId="44" fontId="21" fillId="0" borderId="1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right"/>
    </xf>
    <xf numFmtId="44" fontId="0" fillId="0" borderId="0" xfId="0" applyNumberFormat="1" applyBorder="1"/>
    <xf numFmtId="44" fontId="13" fillId="0" borderId="0" xfId="2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4" fontId="0" fillId="0" borderId="0" xfId="0" applyNumberFormat="1" applyBorder="1"/>
    <xf numFmtId="0" fontId="16" fillId="0" borderId="0" xfId="0" applyNumberFormat="1" applyFont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84"/>
  <sheetViews>
    <sheetView tabSelected="1" workbookViewId="0">
      <pane xSplit="7" ySplit="5" topLeftCell="S19" activePane="bottomRight" state="frozenSplit"/>
      <selection pane="topRight" activeCell="H1" sqref="H1"/>
      <selection pane="bottomLeft" activeCell="A5" sqref="A5"/>
      <selection pane="bottomRight" activeCell="V44" sqref="V44"/>
    </sheetView>
  </sheetViews>
  <sheetFormatPr baseColWidth="10" defaultColWidth="8.83203125" defaultRowHeight="14" x14ac:dyDescent="0"/>
  <cols>
    <col min="1" max="6" width="3" style="26" customWidth="1"/>
    <col min="7" max="7" width="43.83203125" style="26" bestFit="1" customWidth="1"/>
    <col min="8" max="19" width="12.83203125" style="7" customWidth="1"/>
    <col min="20" max="20" width="14.6640625" style="7" bestFit="1" customWidth="1"/>
    <col min="22" max="22" width="12.1640625" bestFit="1" customWidth="1"/>
    <col min="24" max="24" width="10.6640625" bestFit="1" customWidth="1"/>
  </cols>
  <sheetData>
    <row r="1" spans="1:24" ht="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4" ht="17">
      <c r="A2" s="5" t="s">
        <v>1</v>
      </c>
      <c r="B2" s="2"/>
      <c r="C2" s="2"/>
      <c r="D2" s="2"/>
      <c r="E2" s="2"/>
      <c r="F2" s="2"/>
      <c r="G2" s="2"/>
      <c r="H2" s="3"/>
      <c r="I2" s="6"/>
      <c r="M2" s="6"/>
      <c r="N2" s="6"/>
      <c r="O2" s="6"/>
      <c r="Q2" s="6"/>
      <c r="R2" s="6"/>
      <c r="S2" s="6"/>
      <c r="T2" s="8"/>
    </row>
    <row r="3" spans="1:24">
      <c r="A3" s="9" t="s">
        <v>2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</row>
    <row r="4" spans="1:24" s="13" customFormat="1" ht="49.25" customHeight="1" thickBot="1">
      <c r="A4" s="10"/>
      <c r="B4" s="10"/>
      <c r="C4" s="10"/>
      <c r="D4" s="10"/>
      <c r="E4" s="10"/>
      <c r="F4" s="10"/>
      <c r="G4" s="10"/>
      <c r="H4" s="11" t="s">
        <v>3</v>
      </c>
      <c r="I4" s="11" t="s">
        <v>4</v>
      </c>
      <c r="J4" s="11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11" t="s">
        <v>13</v>
      </c>
      <c r="S4" s="11" t="s">
        <v>14</v>
      </c>
      <c r="T4" s="12" t="s">
        <v>15</v>
      </c>
      <c r="V4" s="11" t="s">
        <v>16</v>
      </c>
      <c r="W4" s="14" t="s">
        <v>17</v>
      </c>
    </row>
    <row r="5" spans="1:24" s="13" customFormat="1" ht="16.75" customHeight="1" thickTop="1" thickBot="1">
      <c r="A5" s="10"/>
      <c r="B5" s="10"/>
      <c r="C5" s="10"/>
      <c r="D5" s="10"/>
      <c r="E5" s="10"/>
      <c r="F5" s="10"/>
      <c r="G5" s="15" t="s">
        <v>18</v>
      </c>
      <c r="H5" s="16">
        <f>-17313.88-20457.24-150-18361.46+119417.59</f>
        <v>63135.009999999995</v>
      </c>
      <c r="I5" s="16">
        <f>-17313.88+17313.88</f>
        <v>0</v>
      </c>
      <c r="J5" s="16">
        <v>72000</v>
      </c>
      <c r="K5" s="16">
        <v>5248.23</v>
      </c>
      <c r="L5" s="16">
        <v>8345.8999999999942</v>
      </c>
      <c r="M5" s="16">
        <f>-20457.24+20457.24</f>
        <v>0</v>
      </c>
      <c r="N5" s="16">
        <v>-24391.690000000002</v>
      </c>
      <c r="O5" s="17">
        <v>424.36000000000058</v>
      </c>
      <c r="P5" s="16">
        <v>5750</v>
      </c>
      <c r="Q5" s="16">
        <v>0</v>
      </c>
      <c r="R5" s="17">
        <v>-2409.58</v>
      </c>
      <c r="S5" s="17">
        <v>-30.28</v>
      </c>
      <c r="T5" s="16">
        <f>SUM(H5:S5)</f>
        <v>128071.95000000001</v>
      </c>
      <c r="V5" s="17">
        <f>-150+150</f>
        <v>0</v>
      </c>
      <c r="W5" s="17">
        <f>-18361.46+18361.46</f>
        <v>0</v>
      </c>
    </row>
    <row r="6" spans="1:24" ht="15" thickTop="1">
      <c r="A6" s="18"/>
      <c r="B6" s="18" t="s">
        <v>19</v>
      </c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4">
      <c r="A7" s="18"/>
      <c r="B7" s="18"/>
      <c r="C7" s="18"/>
      <c r="D7" s="18" t="s">
        <v>20</v>
      </c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4">
      <c r="A8" s="18"/>
      <c r="B8" s="18"/>
      <c r="C8" s="18"/>
      <c r="D8" s="18"/>
      <c r="E8" s="18" t="s">
        <v>21</v>
      </c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4">
      <c r="A9" s="18"/>
      <c r="B9" s="18"/>
      <c r="C9" s="18"/>
      <c r="D9" s="18"/>
      <c r="E9" s="18"/>
      <c r="F9" s="18" t="s">
        <v>22</v>
      </c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4">
      <c r="A10" s="18"/>
      <c r="B10" s="18"/>
      <c r="C10" s="18"/>
      <c r="D10" s="18"/>
      <c r="E10" s="18"/>
      <c r="F10" s="18"/>
      <c r="G10" s="18" t="s">
        <v>23</v>
      </c>
      <c r="H10" s="19">
        <f>124341-53971.38+4685+19415.9</f>
        <v>94470.51999999999</v>
      </c>
      <c r="I10" s="19">
        <v>4012.18</v>
      </c>
      <c r="J10" s="19">
        <v>0</v>
      </c>
      <c r="K10" s="19">
        <v>0</v>
      </c>
      <c r="L10" s="19">
        <v>-19415.900000000001</v>
      </c>
      <c r="M10" s="19">
        <v>11175.72</v>
      </c>
      <c r="N10" s="19">
        <v>36282.980000000003</v>
      </c>
      <c r="O10" s="19">
        <v>-419.36</v>
      </c>
      <c r="P10" s="19">
        <v>-4685</v>
      </c>
      <c r="Q10" s="19">
        <f>2000-1520</f>
        <v>480</v>
      </c>
      <c r="R10" s="19">
        <v>2409.58</v>
      </c>
      <c r="S10" s="19">
        <v>30.28</v>
      </c>
      <c r="T10" s="19">
        <f>ROUND(SUM(H10:S10),5)</f>
        <v>124341</v>
      </c>
    </row>
    <row r="11" spans="1:24">
      <c r="A11" s="18"/>
      <c r="B11" s="18"/>
      <c r="C11" s="18"/>
      <c r="D11" s="18"/>
      <c r="E11" s="18"/>
      <c r="F11" s="18"/>
      <c r="G11" s="18" t="s">
        <v>24</v>
      </c>
      <c r="H11" s="19">
        <v>-14105</v>
      </c>
      <c r="I11" s="19">
        <v>0</v>
      </c>
      <c r="J11" s="19">
        <v>57400</v>
      </c>
      <c r="K11" s="19">
        <v>1000</v>
      </c>
      <c r="L11" s="19">
        <v>18000</v>
      </c>
      <c r="M11" s="19">
        <v>0</v>
      </c>
      <c r="N11" s="19">
        <v>0</v>
      </c>
      <c r="O11" s="19">
        <v>0</v>
      </c>
      <c r="P11" s="19">
        <v>0</v>
      </c>
      <c r="Q11" s="19">
        <v>-2000</v>
      </c>
      <c r="R11" s="19"/>
      <c r="S11" s="19"/>
      <c r="T11" s="19">
        <f t="shared" ref="T11:T44" si="0">ROUND(SUM(H11:S11),5)</f>
        <v>60295</v>
      </c>
    </row>
    <row r="12" spans="1:24">
      <c r="A12" s="18"/>
      <c r="B12" s="18"/>
      <c r="C12" s="18"/>
      <c r="D12" s="18"/>
      <c r="E12" s="18"/>
      <c r="F12" s="18"/>
      <c r="G12" s="18" t="s">
        <v>25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/>
      <c r="S12" s="19"/>
      <c r="T12" s="19">
        <f t="shared" si="0"/>
        <v>0</v>
      </c>
    </row>
    <row r="13" spans="1:24" ht="15" thickBot="1">
      <c r="A13" s="18"/>
      <c r="B13" s="18"/>
      <c r="C13" s="18"/>
      <c r="D13" s="18"/>
      <c r="E13" s="18"/>
      <c r="F13" s="18"/>
      <c r="G13" s="18" t="s">
        <v>26</v>
      </c>
      <c r="H13" s="20">
        <f>-50236</f>
        <v>-50236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/>
      <c r="S13" s="20"/>
      <c r="T13" s="20">
        <f t="shared" si="0"/>
        <v>-50236</v>
      </c>
    </row>
    <row r="14" spans="1:24" ht="15" thickBot="1">
      <c r="A14" s="18"/>
      <c r="B14" s="18"/>
      <c r="C14" s="18"/>
      <c r="D14" s="18"/>
      <c r="E14" s="18"/>
      <c r="F14" s="18" t="s">
        <v>27</v>
      </c>
      <c r="G14" s="18"/>
      <c r="H14" s="21">
        <f t="shared" ref="H14:S14" si="1">ROUND(SUM(H9:H13),5)</f>
        <v>30129.52</v>
      </c>
      <c r="I14" s="21">
        <f t="shared" si="1"/>
        <v>4012.18</v>
      </c>
      <c r="J14" s="21">
        <f t="shared" si="1"/>
        <v>57400</v>
      </c>
      <c r="K14" s="21">
        <f t="shared" si="1"/>
        <v>1000</v>
      </c>
      <c r="L14" s="21">
        <f t="shared" si="1"/>
        <v>-1415.9</v>
      </c>
      <c r="M14" s="21">
        <f t="shared" si="1"/>
        <v>11175.72</v>
      </c>
      <c r="N14" s="21">
        <f t="shared" si="1"/>
        <v>36282.980000000003</v>
      </c>
      <c r="O14" s="21">
        <f t="shared" si="1"/>
        <v>-419.36</v>
      </c>
      <c r="P14" s="21">
        <f t="shared" si="1"/>
        <v>-4685</v>
      </c>
      <c r="Q14" s="21">
        <f t="shared" si="1"/>
        <v>-1520</v>
      </c>
      <c r="R14" s="21">
        <f t="shared" si="1"/>
        <v>2409.58</v>
      </c>
      <c r="S14" s="21">
        <f t="shared" si="1"/>
        <v>30.28</v>
      </c>
      <c r="T14" s="21">
        <f t="shared" si="0"/>
        <v>134400</v>
      </c>
    </row>
    <row r="15" spans="1:24" ht="30" customHeight="1">
      <c r="A15" s="18"/>
      <c r="B15" s="18"/>
      <c r="C15" s="18"/>
      <c r="D15" s="18"/>
      <c r="E15" s="18" t="s">
        <v>28</v>
      </c>
      <c r="F15" s="18"/>
      <c r="G15" s="18"/>
      <c r="H15" s="19">
        <f t="shared" ref="H15:S15" si="2">ROUND(H8+H14,5)</f>
        <v>30129.52</v>
      </c>
      <c r="I15" s="19">
        <f t="shared" si="2"/>
        <v>4012.18</v>
      </c>
      <c r="J15" s="19">
        <f t="shared" si="2"/>
        <v>57400</v>
      </c>
      <c r="K15" s="19">
        <f t="shared" si="2"/>
        <v>1000</v>
      </c>
      <c r="L15" s="19">
        <f t="shared" si="2"/>
        <v>-1415.9</v>
      </c>
      <c r="M15" s="19">
        <f t="shared" si="2"/>
        <v>11175.72</v>
      </c>
      <c r="N15" s="19">
        <f t="shared" si="2"/>
        <v>36282.980000000003</v>
      </c>
      <c r="O15" s="19">
        <f t="shared" si="2"/>
        <v>-419.36</v>
      </c>
      <c r="P15" s="19">
        <f t="shared" si="2"/>
        <v>-4685</v>
      </c>
      <c r="Q15" s="19">
        <f t="shared" si="2"/>
        <v>-1520</v>
      </c>
      <c r="R15" s="19">
        <f t="shared" si="2"/>
        <v>2409.58</v>
      </c>
      <c r="S15" s="19">
        <f t="shared" si="2"/>
        <v>30.28</v>
      </c>
      <c r="T15" s="19">
        <f t="shared" si="0"/>
        <v>134400</v>
      </c>
      <c r="X15" s="66">
        <f>+T14+T21</f>
        <v>183530</v>
      </c>
    </row>
    <row r="16" spans="1:24" ht="30" customHeight="1">
      <c r="A16" s="18"/>
      <c r="B16" s="18"/>
      <c r="C16" s="18"/>
      <c r="D16" s="18"/>
      <c r="E16" s="18" t="s">
        <v>29</v>
      </c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>
        <f t="shared" si="0"/>
        <v>0</v>
      </c>
      <c r="X16" s="66">
        <f>-T44</f>
        <v>-141547.9</v>
      </c>
    </row>
    <row r="17" spans="1:24">
      <c r="A17" s="18"/>
      <c r="B17" s="18"/>
      <c r="C17" s="18"/>
      <c r="D17" s="18"/>
      <c r="E17" s="18"/>
      <c r="F17" s="18" t="s">
        <v>30</v>
      </c>
      <c r="G17" s="18"/>
      <c r="H17" s="19">
        <v>35000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/>
      <c r="S17" s="19"/>
      <c r="T17" s="19">
        <f t="shared" si="0"/>
        <v>35000</v>
      </c>
    </row>
    <row r="18" spans="1:24">
      <c r="A18" s="18"/>
      <c r="B18" s="18"/>
      <c r="C18" s="18"/>
      <c r="D18" s="18"/>
      <c r="E18" s="18"/>
      <c r="F18" s="18" t="s">
        <v>31</v>
      </c>
      <c r="G18" s="18"/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4500</v>
      </c>
      <c r="Q18" s="19">
        <v>4180</v>
      </c>
      <c r="R18" s="19"/>
      <c r="S18" s="19"/>
      <c r="T18" s="19">
        <f t="shared" si="0"/>
        <v>8680</v>
      </c>
      <c r="X18" s="66">
        <f>SUM(X15:X17)</f>
        <v>41982.100000000006</v>
      </c>
    </row>
    <row r="19" spans="1:24">
      <c r="A19" s="18"/>
      <c r="B19" s="18"/>
      <c r="C19" s="18"/>
      <c r="D19" s="18"/>
      <c r="E19" s="18"/>
      <c r="F19" s="18" t="s">
        <v>32</v>
      </c>
      <c r="G19" s="18"/>
      <c r="H19" s="19">
        <v>350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1100</v>
      </c>
      <c r="O19" s="19">
        <v>0</v>
      </c>
      <c r="P19" s="19">
        <v>0</v>
      </c>
      <c r="Q19" s="19">
        <v>0</v>
      </c>
      <c r="R19" s="19"/>
      <c r="S19" s="19"/>
      <c r="T19" s="19">
        <f t="shared" si="0"/>
        <v>1450</v>
      </c>
    </row>
    <row r="20" spans="1:24" ht="15" thickBot="1">
      <c r="A20" s="18"/>
      <c r="B20" s="18"/>
      <c r="C20" s="18"/>
      <c r="D20" s="18"/>
      <c r="E20" s="18"/>
      <c r="F20" s="18" t="s">
        <v>33</v>
      </c>
      <c r="G20" s="18"/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4000</v>
      </c>
      <c r="O20" s="20">
        <v>0</v>
      </c>
      <c r="P20" s="20">
        <v>0</v>
      </c>
      <c r="Q20" s="20">
        <v>0</v>
      </c>
      <c r="R20" s="20"/>
      <c r="S20" s="20"/>
      <c r="T20" s="20">
        <f t="shared" si="0"/>
        <v>4000</v>
      </c>
    </row>
    <row r="21" spans="1:24" ht="15" thickBot="1">
      <c r="A21" s="18"/>
      <c r="B21" s="18"/>
      <c r="C21" s="18"/>
      <c r="D21" s="18"/>
      <c r="E21" s="18" t="s">
        <v>34</v>
      </c>
      <c r="F21" s="18"/>
      <c r="G21" s="18"/>
      <c r="H21" s="22">
        <f t="shared" ref="H21:S21" si="3">ROUND(SUM(H16:H20),5)</f>
        <v>35350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0</v>
      </c>
      <c r="N21" s="22">
        <f t="shared" si="3"/>
        <v>5100</v>
      </c>
      <c r="O21" s="22">
        <f t="shared" si="3"/>
        <v>0</v>
      </c>
      <c r="P21" s="22">
        <f t="shared" si="3"/>
        <v>4500</v>
      </c>
      <c r="Q21" s="22">
        <f t="shared" si="3"/>
        <v>4180</v>
      </c>
      <c r="R21" s="22">
        <f t="shared" si="3"/>
        <v>0</v>
      </c>
      <c r="S21" s="22">
        <f t="shared" si="3"/>
        <v>0</v>
      </c>
      <c r="T21" s="22">
        <f t="shared" si="0"/>
        <v>49130</v>
      </c>
    </row>
    <row r="22" spans="1:24" ht="30" customHeight="1" thickBot="1">
      <c r="A22" s="18"/>
      <c r="B22" s="18"/>
      <c r="C22" s="18"/>
      <c r="D22" s="18" t="s">
        <v>35</v>
      </c>
      <c r="E22" s="18"/>
      <c r="F22" s="18"/>
      <c r="G22" s="18"/>
      <c r="H22" s="21">
        <f t="shared" ref="H22:S22" si="4">ROUND(H7+H15+H21,5)</f>
        <v>65479.519999999997</v>
      </c>
      <c r="I22" s="21">
        <f t="shared" si="4"/>
        <v>4012.18</v>
      </c>
      <c r="J22" s="21">
        <f t="shared" si="4"/>
        <v>57400</v>
      </c>
      <c r="K22" s="21">
        <f t="shared" si="4"/>
        <v>1000</v>
      </c>
      <c r="L22" s="21">
        <f t="shared" si="4"/>
        <v>-1415.9</v>
      </c>
      <c r="M22" s="21">
        <f t="shared" si="4"/>
        <v>11175.72</v>
      </c>
      <c r="N22" s="21">
        <f t="shared" si="4"/>
        <v>41382.980000000003</v>
      </c>
      <c r="O22" s="21">
        <f t="shared" si="4"/>
        <v>-419.36</v>
      </c>
      <c r="P22" s="21">
        <f t="shared" si="4"/>
        <v>-185</v>
      </c>
      <c r="Q22" s="21">
        <f t="shared" si="4"/>
        <v>2660</v>
      </c>
      <c r="R22" s="21">
        <f t="shared" si="4"/>
        <v>2409.58</v>
      </c>
      <c r="S22" s="21">
        <f t="shared" si="4"/>
        <v>30.28</v>
      </c>
      <c r="T22" s="21">
        <f t="shared" si="0"/>
        <v>183530</v>
      </c>
    </row>
    <row r="23" spans="1:24" ht="30" customHeight="1">
      <c r="A23" s="18"/>
      <c r="B23" s="18"/>
      <c r="C23" s="18" t="s">
        <v>36</v>
      </c>
      <c r="D23" s="18"/>
      <c r="E23" s="18"/>
      <c r="F23" s="18"/>
      <c r="G23" s="18"/>
      <c r="H23" s="19">
        <f t="shared" ref="H23:S23" si="5">H22</f>
        <v>65479.519999999997</v>
      </c>
      <c r="I23" s="19">
        <f t="shared" si="5"/>
        <v>4012.18</v>
      </c>
      <c r="J23" s="19">
        <f t="shared" si="5"/>
        <v>57400</v>
      </c>
      <c r="K23" s="19">
        <f t="shared" si="5"/>
        <v>1000</v>
      </c>
      <c r="L23" s="19">
        <f t="shared" si="5"/>
        <v>-1415.9</v>
      </c>
      <c r="M23" s="19">
        <f t="shared" si="5"/>
        <v>11175.72</v>
      </c>
      <c r="N23" s="19">
        <f t="shared" si="5"/>
        <v>41382.980000000003</v>
      </c>
      <c r="O23" s="19">
        <f t="shared" si="5"/>
        <v>-419.36</v>
      </c>
      <c r="P23" s="19">
        <f t="shared" si="5"/>
        <v>-185</v>
      </c>
      <c r="Q23" s="19">
        <f t="shared" si="5"/>
        <v>2660</v>
      </c>
      <c r="R23" s="19">
        <f t="shared" si="5"/>
        <v>2409.58</v>
      </c>
      <c r="S23" s="19">
        <f t="shared" si="5"/>
        <v>30.28</v>
      </c>
      <c r="T23" s="19">
        <f t="shared" si="0"/>
        <v>183530</v>
      </c>
    </row>
    <row r="24" spans="1:24" ht="30" customHeight="1">
      <c r="A24" s="18"/>
      <c r="B24" s="65"/>
      <c r="C24" s="65"/>
      <c r="D24" s="65" t="s">
        <v>37</v>
      </c>
      <c r="E24" s="65"/>
      <c r="F24" s="65"/>
      <c r="G24" s="6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f t="shared" si="0"/>
        <v>0</v>
      </c>
    </row>
    <row r="25" spans="1:24">
      <c r="A25" s="18"/>
      <c r="B25" s="65"/>
      <c r="C25" s="65"/>
      <c r="D25" s="65"/>
      <c r="E25" s="65" t="s">
        <v>38</v>
      </c>
      <c r="F25" s="65"/>
      <c r="G25" s="65"/>
      <c r="H25" s="23"/>
      <c r="I25" s="23"/>
      <c r="J25" s="23"/>
      <c r="K25" s="23"/>
      <c r="L25" s="23"/>
      <c r="M25" s="23"/>
      <c r="N25" s="19"/>
      <c r="O25" s="19"/>
      <c r="P25" s="19"/>
      <c r="Q25" s="19"/>
      <c r="R25" s="19"/>
      <c r="S25" s="19"/>
      <c r="T25" s="19">
        <f t="shared" si="0"/>
        <v>0</v>
      </c>
    </row>
    <row r="26" spans="1:24">
      <c r="A26" s="18"/>
      <c r="B26" s="65"/>
      <c r="C26" s="65"/>
      <c r="D26" s="65"/>
      <c r="E26" s="65"/>
      <c r="F26" s="65" t="s">
        <v>39</v>
      </c>
      <c r="G26" s="65"/>
      <c r="H26" s="23"/>
      <c r="I26" s="23"/>
      <c r="J26" s="23"/>
      <c r="K26" s="23"/>
      <c r="L26" s="23"/>
      <c r="M26" s="23"/>
      <c r="N26" s="19"/>
      <c r="O26" s="19"/>
      <c r="P26" s="19"/>
      <c r="Q26" s="19"/>
      <c r="R26" s="19"/>
      <c r="S26" s="19"/>
      <c r="T26" s="19">
        <f t="shared" si="0"/>
        <v>0</v>
      </c>
    </row>
    <row r="27" spans="1:24">
      <c r="A27" s="18"/>
      <c r="B27" s="65"/>
      <c r="C27" s="65"/>
      <c r="D27" s="65"/>
      <c r="E27" s="65"/>
      <c r="F27" s="65"/>
      <c r="G27" s="65" t="s">
        <v>40</v>
      </c>
      <c r="H27" s="23">
        <v>6370</v>
      </c>
      <c r="I27" s="23">
        <v>0</v>
      </c>
      <c r="J27" s="23">
        <v>5418</v>
      </c>
      <c r="K27" s="23">
        <v>0</v>
      </c>
      <c r="L27" s="23">
        <v>0</v>
      </c>
      <c r="M27" s="23">
        <v>0</v>
      </c>
      <c r="N27" s="19">
        <v>0</v>
      </c>
      <c r="O27" s="19">
        <v>0</v>
      </c>
      <c r="P27" s="19">
        <v>0</v>
      </c>
      <c r="Q27" s="19">
        <v>0</v>
      </c>
      <c r="R27" s="19"/>
      <c r="S27" s="19"/>
      <c r="T27" s="19">
        <f t="shared" si="0"/>
        <v>11788</v>
      </c>
    </row>
    <row r="28" spans="1:24">
      <c r="A28" s="18"/>
      <c r="B28" s="65"/>
      <c r="C28" s="65"/>
      <c r="D28" s="65"/>
      <c r="E28" s="65"/>
      <c r="F28" s="65"/>
      <c r="G28" s="65" t="s">
        <v>41</v>
      </c>
      <c r="H28" s="23">
        <f>24985.82-2000-17000</f>
        <v>5985.82</v>
      </c>
      <c r="I28" s="23">
        <v>0</v>
      </c>
      <c r="J28" s="23">
        <v>17000</v>
      </c>
      <c r="K28" s="23">
        <v>0</v>
      </c>
      <c r="L28" s="23">
        <v>0</v>
      </c>
      <c r="M28" s="23">
        <v>0</v>
      </c>
      <c r="N28" s="19">
        <v>0</v>
      </c>
      <c r="O28" s="19">
        <v>0</v>
      </c>
      <c r="P28" s="19">
        <v>0</v>
      </c>
      <c r="Q28" s="19">
        <v>0</v>
      </c>
      <c r="R28" s="19"/>
      <c r="S28" s="19"/>
      <c r="T28" s="19">
        <f t="shared" si="0"/>
        <v>22985.82</v>
      </c>
    </row>
    <row r="29" spans="1:24">
      <c r="A29" s="18"/>
      <c r="B29" s="65"/>
      <c r="C29" s="65"/>
      <c r="D29" s="65"/>
      <c r="E29" s="65"/>
      <c r="F29" s="65"/>
      <c r="G29" s="65" t="s">
        <v>42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697.51</v>
      </c>
      <c r="N29" s="19">
        <v>0</v>
      </c>
      <c r="O29" s="19">
        <v>5</v>
      </c>
      <c r="P29" s="19">
        <v>0</v>
      </c>
      <c r="Q29" s="19">
        <v>0</v>
      </c>
      <c r="R29" s="19"/>
      <c r="S29" s="19"/>
      <c r="T29" s="19">
        <f t="shared" si="0"/>
        <v>702.51</v>
      </c>
    </row>
    <row r="30" spans="1:24">
      <c r="A30" s="18"/>
      <c r="B30" s="65"/>
      <c r="C30" s="65"/>
      <c r="D30" s="65"/>
      <c r="E30" s="65"/>
      <c r="F30" s="65"/>
      <c r="G30" s="65" t="s">
        <v>43</v>
      </c>
      <c r="H30" s="23">
        <v>0</v>
      </c>
      <c r="I30" s="23">
        <v>0</v>
      </c>
      <c r="J30" s="23">
        <v>0</v>
      </c>
      <c r="K30" s="23">
        <v>0</v>
      </c>
      <c r="L30" s="23">
        <v>-570</v>
      </c>
      <c r="M30" s="23">
        <v>8000</v>
      </c>
      <c r="N30" s="19">
        <v>600</v>
      </c>
      <c r="O30" s="19">
        <v>0</v>
      </c>
      <c r="P30" s="19">
        <v>0</v>
      </c>
      <c r="Q30" s="19">
        <v>0</v>
      </c>
      <c r="R30" s="19"/>
      <c r="S30" s="19"/>
      <c r="T30" s="19">
        <f t="shared" si="0"/>
        <v>8030</v>
      </c>
    </row>
    <row r="31" spans="1:24">
      <c r="A31" s="18"/>
      <c r="B31" s="65"/>
      <c r="C31" s="65"/>
      <c r="D31" s="65"/>
      <c r="E31" s="65"/>
      <c r="F31" s="65"/>
      <c r="G31" s="65" t="s">
        <v>44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19">
        <v>4394.71</v>
      </c>
      <c r="O31" s="19">
        <v>0</v>
      </c>
      <c r="P31" s="19">
        <v>0</v>
      </c>
      <c r="Q31" s="19">
        <v>0</v>
      </c>
      <c r="R31" s="19"/>
      <c r="S31" s="19"/>
      <c r="T31" s="19">
        <f t="shared" si="0"/>
        <v>4394.71</v>
      </c>
    </row>
    <row r="32" spans="1:24">
      <c r="A32" s="18"/>
      <c r="B32" s="65"/>
      <c r="C32" s="65"/>
      <c r="D32" s="65"/>
      <c r="E32" s="65"/>
      <c r="F32" s="65"/>
      <c r="G32" s="65" t="s">
        <v>45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19">
        <v>29.95</v>
      </c>
      <c r="O32" s="19">
        <v>0</v>
      </c>
      <c r="P32" s="19">
        <v>0</v>
      </c>
      <c r="Q32" s="19">
        <v>0</v>
      </c>
      <c r="R32" s="19"/>
      <c r="S32" s="19"/>
      <c r="T32" s="19">
        <f t="shared" si="0"/>
        <v>29.95</v>
      </c>
    </row>
    <row r="33" spans="1:23">
      <c r="A33" s="18"/>
      <c r="B33" s="65"/>
      <c r="C33" s="65"/>
      <c r="D33" s="65"/>
      <c r="E33" s="65"/>
      <c r="F33" s="65"/>
      <c r="G33" s="65" t="s">
        <v>46</v>
      </c>
      <c r="H33" s="23">
        <v>239.6</v>
      </c>
      <c r="I33" s="23">
        <v>0</v>
      </c>
      <c r="J33" s="23">
        <v>0</v>
      </c>
      <c r="K33" s="23">
        <v>0</v>
      </c>
      <c r="L33" s="23">
        <v>0</v>
      </c>
      <c r="M33" s="23">
        <v>660.89</v>
      </c>
      <c r="N33" s="19">
        <v>0</v>
      </c>
      <c r="O33" s="19">
        <v>0</v>
      </c>
      <c r="P33" s="19">
        <v>5565</v>
      </c>
      <c r="Q33" s="19">
        <v>2640</v>
      </c>
      <c r="R33" s="19"/>
      <c r="S33" s="19"/>
      <c r="T33" s="19">
        <f t="shared" si="0"/>
        <v>9105.49</v>
      </c>
    </row>
    <row r="34" spans="1:23">
      <c r="A34" s="18"/>
      <c r="B34" s="18"/>
      <c r="C34" s="18"/>
      <c r="D34" s="18"/>
      <c r="E34" s="18"/>
      <c r="F34" s="18"/>
      <c r="G34" s="65" t="s">
        <v>47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19">
        <v>546.47</v>
      </c>
      <c r="O34" s="19">
        <v>0</v>
      </c>
      <c r="P34" s="19">
        <v>0</v>
      </c>
      <c r="Q34" s="19">
        <v>0</v>
      </c>
      <c r="R34" s="19"/>
      <c r="S34" s="19"/>
      <c r="T34" s="19">
        <f t="shared" si="0"/>
        <v>546.47</v>
      </c>
    </row>
    <row r="35" spans="1:23">
      <c r="A35" s="18"/>
      <c r="B35" s="18"/>
      <c r="C35" s="18"/>
      <c r="D35" s="18"/>
      <c r="E35" s="18"/>
      <c r="F35" s="18"/>
      <c r="G35" s="65" t="s">
        <v>48</v>
      </c>
      <c r="H35" s="23">
        <v>55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19">
        <v>0</v>
      </c>
      <c r="O35" s="19">
        <v>0</v>
      </c>
      <c r="P35" s="19">
        <v>0</v>
      </c>
      <c r="Q35" s="19">
        <v>20</v>
      </c>
      <c r="R35" s="19"/>
      <c r="S35" s="19"/>
      <c r="T35" s="19">
        <f t="shared" si="0"/>
        <v>75</v>
      </c>
    </row>
    <row r="36" spans="1:23">
      <c r="A36" s="18"/>
      <c r="B36" s="18"/>
      <c r="C36" s="18"/>
      <c r="D36" s="18"/>
      <c r="E36" s="18"/>
      <c r="F36" s="18"/>
      <c r="G36" s="65" t="s">
        <v>49</v>
      </c>
      <c r="H36" s="23">
        <v>19.739999999999998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19">
        <v>0</v>
      </c>
      <c r="O36" s="19">
        <v>0</v>
      </c>
      <c r="P36" s="19">
        <v>0</v>
      </c>
      <c r="Q36" s="19">
        <v>0</v>
      </c>
      <c r="R36" s="19"/>
      <c r="S36" s="19"/>
      <c r="T36" s="19">
        <f t="shared" si="0"/>
        <v>19.739999999999998</v>
      </c>
    </row>
    <row r="37" spans="1:23">
      <c r="A37" s="18"/>
      <c r="B37" s="18"/>
      <c r="C37" s="18"/>
      <c r="D37" s="18"/>
      <c r="E37" s="18"/>
      <c r="F37" s="18"/>
      <c r="G37" s="65" t="s">
        <v>50</v>
      </c>
      <c r="H37" s="23">
        <v>930.92</v>
      </c>
      <c r="I37" s="23">
        <v>3714.68</v>
      </c>
      <c r="J37" s="23">
        <v>176.78</v>
      </c>
      <c r="K37" s="23">
        <v>0</v>
      </c>
      <c r="L37" s="23">
        <v>0</v>
      </c>
      <c r="M37" s="23">
        <v>1422.69</v>
      </c>
      <c r="N37" s="19">
        <v>1594.04</v>
      </c>
      <c r="O37" s="19">
        <v>0</v>
      </c>
      <c r="P37" s="19">
        <v>0</v>
      </c>
      <c r="Q37" s="19">
        <v>0</v>
      </c>
      <c r="R37" s="19"/>
      <c r="S37" s="19"/>
      <c r="T37" s="19">
        <f t="shared" si="0"/>
        <v>7839.11</v>
      </c>
    </row>
    <row r="38" spans="1:23">
      <c r="A38" s="18"/>
      <c r="B38" s="18"/>
      <c r="C38" s="18"/>
      <c r="D38" s="18"/>
      <c r="E38" s="18"/>
      <c r="F38" s="18"/>
      <c r="G38" s="65" t="s">
        <v>51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69.63</v>
      </c>
      <c r="N38" s="19">
        <v>7214.87</v>
      </c>
      <c r="O38" s="19">
        <v>0</v>
      </c>
      <c r="P38" s="19">
        <v>0</v>
      </c>
      <c r="Q38" s="19">
        <v>0</v>
      </c>
      <c r="R38" s="19"/>
      <c r="S38" s="19"/>
      <c r="T38" s="19">
        <f t="shared" si="0"/>
        <v>7284.5</v>
      </c>
    </row>
    <row r="39" spans="1:23">
      <c r="A39" s="18"/>
      <c r="B39" s="18"/>
      <c r="C39" s="18"/>
      <c r="D39" s="18"/>
      <c r="E39" s="18"/>
      <c r="F39" s="18"/>
      <c r="G39" s="65" t="s">
        <v>52</v>
      </c>
      <c r="H39" s="23">
        <v>200</v>
      </c>
      <c r="I39" s="23">
        <v>297.5</v>
      </c>
      <c r="J39" s="23">
        <v>0</v>
      </c>
      <c r="K39" s="23">
        <v>0</v>
      </c>
      <c r="L39" s="23">
        <v>0</v>
      </c>
      <c r="M39" s="23">
        <v>325</v>
      </c>
      <c r="N39" s="19">
        <v>0</v>
      </c>
      <c r="O39" s="19">
        <v>0</v>
      </c>
      <c r="P39" s="19">
        <v>0</v>
      </c>
      <c r="Q39" s="19">
        <v>0</v>
      </c>
      <c r="R39" s="19"/>
      <c r="S39" s="19"/>
      <c r="T39" s="19">
        <f t="shared" si="0"/>
        <v>822.5</v>
      </c>
    </row>
    <row r="40" spans="1:23">
      <c r="A40" s="18"/>
      <c r="B40" s="18"/>
      <c r="C40" s="18"/>
      <c r="D40" s="18"/>
      <c r="E40" s="18"/>
      <c r="F40" s="18"/>
      <c r="G40" s="65" t="s">
        <v>53</v>
      </c>
      <c r="H40" s="23">
        <v>0</v>
      </c>
      <c r="I40" s="23">
        <v>0</v>
      </c>
      <c r="J40" s="23">
        <v>54325</v>
      </c>
      <c r="K40" s="23">
        <v>3487.85</v>
      </c>
      <c r="L40" s="23">
        <v>7500</v>
      </c>
      <c r="M40" s="23">
        <v>0</v>
      </c>
      <c r="N40" s="19">
        <v>0</v>
      </c>
      <c r="O40" s="19">
        <v>0</v>
      </c>
      <c r="P40" s="19">
        <v>0</v>
      </c>
      <c r="Q40" s="19">
        <v>0</v>
      </c>
      <c r="R40" s="19"/>
      <c r="S40" s="19"/>
      <c r="T40" s="19">
        <f t="shared" si="0"/>
        <v>65312.85</v>
      </c>
    </row>
    <row r="41" spans="1:23" ht="15" thickBot="1">
      <c r="A41" s="18"/>
      <c r="B41" s="18"/>
      <c r="C41" s="18"/>
      <c r="D41" s="18"/>
      <c r="E41" s="18"/>
      <c r="F41" s="18"/>
      <c r="G41" s="65" t="s">
        <v>54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2611.25</v>
      </c>
      <c r="O41" s="20">
        <v>0</v>
      </c>
      <c r="P41" s="20">
        <v>0</v>
      </c>
      <c r="Q41" s="20">
        <v>0</v>
      </c>
      <c r="R41" s="20"/>
      <c r="S41" s="20"/>
      <c r="T41" s="20">
        <f t="shared" si="0"/>
        <v>2611.25</v>
      </c>
    </row>
    <row r="42" spans="1:23" ht="15" thickBot="1">
      <c r="A42" s="18"/>
      <c r="B42" s="18"/>
      <c r="C42" s="18"/>
      <c r="D42" s="18"/>
      <c r="E42" s="18"/>
      <c r="F42" s="18" t="s">
        <v>55</v>
      </c>
      <c r="G42" s="18"/>
      <c r="H42" s="22">
        <f t="shared" ref="H42:S42" si="6">ROUND(SUM(H26:H41),5)</f>
        <v>13801.08</v>
      </c>
      <c r="I42" s="22">
        <f t="shared" si="6"/>
        <v>4012.18</v>
      </c>
      <c r="J42" s="22">
        <f t="shared" si="6"/>
        <v>76919.78</v>
      </c>
      <c r="K42" s="22">
        <f t="shared" si="6"/>
        <v>3487.85</v>
      </c>
      <c r="L42" s="22">
        <f t="shared" si="6"/>
        <v>6930</v>
      </c>
      <c r="M42" s="22">
        <f t="shared" si="6"/>
        <v>11175.72</v>
      </c>
      <c r="N42" s="22">
        <f t="shared" si="6"/>
        <v>16991.29</v>
      </c>
      <c r="O42" s="22">
        <f t="shared" si="6"/>
        <v>5</v>
      </c>
      <c r="P42" s="22">
        <f t="shared" si="6"/>
        <v>5565</v>
      </c>
      <c r="Q42" s="22">
        <f t="shared" si="6"/>
        <v>2660</v>
      </c>
      <c r="R42" s="22">
        <f t="shared" si="6"/>
        <v>0</v>
      </c>
      <c r="S42" s="22">
        <f t="shared" si="6"/>
        <v>0</v>
      </c>
      <c r="T42" s="22">
        <f t="shared" si="0"/>
        <v>141547.9</v>
      </c>
    </row>
    <row r="43" spans="1:23" ht="30" customHeight="1" thickBot="1">
      <c r="A43" s="18"/>
      <c r="B43" s="18"/>
      <c r="C43" s="18"/>
      <c r="D43" s="18"/>
      <c r="E43" s="18" t="s">
        <v>56</v>
      </c>
      <c r="F43" s="18"/>
      <c r="G43" s="18"/>
      <c r="H43" s="22">
        <f t="shared" ref="H43:S43" si="7">ROUND(H25+H42,5)</f>
        <v>13801.08</v>
      </c>
      <c r="I43" s="22">
        <f t="shared" si="7"/>
        <v>4012.18</v>
      </c>
      <c r="J43" s="22">
        <f t="shared" si="7"/>
        <v>76919.78</v>
      </c>
      <c r="K43" s="22">
        <f t="shared" si="7"/>
        <v>3487.85</v>
      </c>
      <c r="L43" s="22">
        <f t="shared" si="7"/>
        <v>6930</v>
      </c>
      <c r="M43" s="22">
        <f t="shared" si="7"/>
        <v>11175.72</v>
      </c>
      <c r="N43" s="22">
        <f t="shared" si="7"/>
        <v>16991.29</v>
      </c>
      <c r="O43" s="22">
        <f t="shared" si="7"/>
        <v>5</v>
      </c>
      <c r="P43" s="22">
        <f t="shared" si="7"/>
        <v>5565</v>
      </c>
      <c r="Q43" s="22">
        <f t="shared" si="7"/>
        <v>2660</v>
      </c>
      <c r="R43" s="22">
        <f t="shared" si="7"/>
        <v>0</v>
      </c>
      <c r="S43" s="22">
        <f t="shared" si="7"/>
        <v>0</v>
      </c>
      <c r="T43" s="22">
        <f t="shared" si="0"/>
        <v>141547.9</v>
      </c>
    </row>
    <row r="44" spans="1:23" ht="30" customHeight="1" thickBot="1">
      <c r="A44" s="18"/>
      <c r="B44" s="18"/>
      <c r="C44" s="18"/>
      <c r="D44" s="18" t="s">
        <v>57</v>
      </c>
      <c r="E44" s="18"/>
      <c r="F44" s="18"/>
      <c r="G44" s="18"/>
      <c r="H44" s="22">
        <f t="shared" ref="H44:S44" si="8">ROUND(H24+H43,5)</f>
        <v>13801.08</v>
      </c>
      <c r="I44" s="22">
        <f t="shared" si="8"/>
        <v>4012.18</v>
      </c>
      <c r="J44" s="22">
        <f t="shared" si="8"/>
        <v>76919.78</v>
      </c>
      <c r="K44" s="22">
        <f t="shared" si="8"/>
        <v>3487.85</v>
      </c>
      <c r="L44" s="22">
        <f t="shared" si="8"/>
        <v>6930</v>
      </c>
      <c r="M44" s="22">
        <f t="shared" si="8"/>
        <v>11175.72</v>
      </c>
      <c r="N44" s="22">
        <f t="shared" si="8"/>
        <v>16991.29</v>
      </c>
      <c r="O44" s="22">
        <f t="shared" si="8"/>
        <v>5</v>
      </c>
      <c r="P44" s="22">
        <f t="shared" si="8"/>
        <v>5565</v>
      </c>
      <c r="Q44" s="22">
        <f t="shared" si="8"/>
        <v>2660</v>
      </c>
      <c r="R44" s="22">
        <f t="shared" si="8"/>
        <v>0</v>
      </c>
      <c r="S44" s="22">
        <f t="shared" si="8"/>
        <v>0</v>
      </c>
      <c r="T44" s="22">
        <f t="shared" si="0"/>
        <v>141547.9</v>
      </c>
    </row>
    <row r="45" spans="1:23" ht="30" customHeight="1" thickBot="1">
      <c r="A45" s="18"/>
      <c r="B45" s="18" t="s">
        <v>58</v>
      </c>
      <c r="C45" s="18"/>
      <c r="D45" s="18"/>
      <c r="E45" s="18"/>
      <c r="F45" s="18"/>
      <c r="G45" s="18"/>
      <c r="H45" s="22">
        <f t="shared" ref="H45:S45" si="9">ROUND(H6+H23-H44,5)</f>
        <v>51678.44</v>
      </c>
      <c r="I45" s="22">
        <f t="shared" si="9"/>
        <v>0</v>
      </c>
      <c r="J45" s="22">
        <f t="shared" si="9"/>
        <v>-19519.78</v>
      </c>
      <c r="K45" s="22">
        <f t="shared" si="9"/>
        <v>-2487.85</v>
      </c>
      <c r="L45" s="22">
        <f t="shared" si="9"/>
        <v>-8345.9</v>
      </c>
      <c r="M45" s="22">
        <f t="shared" si="9"/>
        <v>0</v>
      </c>
      <c r="N45" s="22">
        <f t="shared" si="9"/>
        <v>24391.69</v>
      </c>
      <c r="O45" s="22">
        <f t="shared" si="9"/>
        <v>-424.36</v>
      </c>
      <c r="P45" s="22">
        <f t="shared" si="9"/>
        <v>-5750</v>
      </c>
      <c r="Q45" s="22">
        <f t="shared" si="9"/>
        <v>0</v>
      </c>
      <c r="R45" s="22">
        <f t="shared" si="9"/>
        <v>2409.58</v>
      </c>
      <c r="S45" s="22">
        <f t="shared" si="9"/>
        <v>30.28</v>
      </c>
      <c r="T45" s="22">
        <f>ROUND(SUM(H45:S45),5)</f>
        <v>41982.1</v>
      </c>
    </row>
    <row r="46" spans="1:23" s="25" customFormat="1" ht="30" customHeight="1" thickBot="1">
      <c r="A46" s="18" t="s">
        <v>59</v>
      </c>
      <c r="B46" s="18"/>
      <c r="C46" s="18"/>
      <c r="D46" s="18"/>
      <c r="E46" s="18"/>
      <c r="F46" s="18"/>
      <c r="G46" s="18"/>
      <c r="H46" s="24">
        <f t="shared" ref="H46:S46" si="10">H45</f>
        <v>51678.44</v>
      </c>
      <c r="I46" s="24">
        <f t="shared" si="10"/>
        <v>0</v>
      </c>
      <c r="J46" s="24">
        <f t="shared" si="10"/>
        <v>-19519.78</v>
      </c>
      <c r="K46" s="24">
        <f t="shared" si="10"/>
        <v>-2487.85</v>
      </c>
      <c r="L46" s="24">
        <f t="shared" si="10"/>
        <v>-8345.9</v>
      </c>
      <c r="M46" s="24">
        <f t="shared" si="10"/>
        <v>0</v>
      </c>
      <c r="N46" s="24">
        <f t="shared" si="10"/>
        <v>24391.69</v>
      </c>
      <c r="O46" s="24">
        <f t="shared" si="10"/>
        <v>-424.36</v>
      </c>
      <c r="P46" s="24">
        <f t="shared" si="10"/>
        <v>-5750</v>
      </c>
      <c r="Q46" s="24">
        <f t="shared" si="10"/>
        <v>0</v>
      </c>
      <c r="R46" s="24">
        <f t="shared" si="10"/>
        <v>2409.58</v>
      </c>
      <c r="S46" s="24">
        <f t="shared" si="10"/>
        <v>30.28</v>
      </c>
      <c r="T46" s="24">
        <f>ROUND(SUM(H46:S46),5)</f>
        <v>41982.1</v>
      </c>
    </row>
    <row r="47" spans="1:23" s="13" customFormat="1" ht="16.75" customHeight="1" thickTop="1" thickBot="1">
      <c r="A47" s="10"/>
      <c r="B47" s="10"/>
      <c r="C47" s="10"/>
      <c r="D47" s="10"/>
      <c r="E47" s="10"/>
      <c r="F47" s="10"/>
      <c r="G47" s="15" t="s">
        <v>60</v>
      </c>
      <c r="H47" s="16">
        <f>+H5+H22-H44</f>
        <v>114813.45</v>
      </c>
      <c r="I47" s="16">
        <f t="shared" ref="I47:S47" si="11">+I5+I22-I44</f>
        <v>0</v>
      </c>
      <c r="J47" s="16">
        <f t="shared" si="11"/>
        <v>52480.22</v>
      </c>
      <c r="K47" s="16">
        <f t="shared" si="11"/>
        <v>2760.3799999999997</v>
      </c>
      <c r="L47" s="16">
        <f t="shared" si="11"/>
        <v>0</v>
      </c>
      <c r="M47" s="16">
        <f t="shared" si="11"/>
        <v>0</v>
      </c>
      <c r="N47" s="16">
        <f t="shared" si="11"/>
        <v>0</v>
      </c>
      <c r="O47" s="16">
        <f t="shared" si="11"/>
        <v>5.6843418860808015E-13</v>
      </c>
      <c r="P47" s="16">
        <f t="shared" si="11"/>
        <v>0</v>
      </c>
      <c r="Q47" s="16">
        <f t="shared" si="11"/>
        <v>0</v>
      </c>
      <c r="R47" s="16">
        <f t="shared" si="11"/>
        <v>0</v>
      </c>
      <c r="S47" s="16">
        <f t="shared" si="11"/>
        <v>0</v>
      </c>
      <c r="T47" s="16">
        <f>SUM(H47:S47)</f>
        <v>170054.05</v>
      </c>
      <c r="V47" s="17">
        <f>-150+150</f>
        <v>0</v>
      </c>
      <c r="W47" s="17">
        <f>-18361.46+18361.46</f>
        <v>0</v>
      </c>
    </row>
    <row r="48" spans="1:23" ht="15" thickTop="1">
      <c r="T48" s="27"/>
    </row>
    <row r="49" spans="6:22">
      <c r="F49" s="56"/>
      <c r="G49" s="57"/>
      <c r="H49" s="42"/>
      <c r="I49" s="58"/>
      <c r="J49" s="42"/>
      <c r="K49" s="42"/>
      <c r="M49" s="6"/>
      <c r="N49" s="6"/>
      <c r="O49" s="6"/>
      <c r="Q49" s="6"/>
      <c r="R49" s="6"/>
      <c r="S49" s="6"/>
      <c r="T49" s="6"/>
    </row>
    <row r="50" spans="6:22">
      <c r="F50" s="56"/>
      <c r="G50" s="59"/>
      <c r="H50" s="42"/>
      <c r="I50" s="42"/>
      <c r="J50" s="42"/>
      <c r="K50" s="42"/>
      <c r="N50" s="28"/>
      <c r="O50" s="29"/>
      <c r="P50" s="29"/>
      <c r="Q50" s="29"/>
      <c r="R50" s="29"/>
      <c r="S50" s="29"/>
      <c r="T50" s="30"/>
    </row>
    <row r="51" spans="6:22">
      <c r="F51" s="56"/>
      <c r="G51" s="60"/>
      <c r="H51" s="42"/>
      <c r="I51" s="42"/>
      <c r="J51" s="42"/>
      <c r="K51" s="42"/>
      <c r="N51" s="31" t="s">
        <v>61</v>
      </c>
      <c r="O51" s="32"/>
      <c r="P51" s="33"/>
      <c r="Q51" s="32"/>
      <c r="R51" s="32"/>
      <c r="S51" s="33"/>
      <c r="T51" s="34">
        <f>+H47</f>
        <v>114813.45</v>
      </c>
      <c r="V51" s="6"/>
    </row>
    <row r="52" spans="6:22">
      <c r="F52" s="56"/>
      <c r="G52" s="60"/>
      <c r="H52" s="42"/>
      <c r="I52" s="42"/>
      <c r="J52" s="61"/>
      <c r="K52" s="42"/>
      <c r="N52" s="31"/>
      <c r="O52" s="32"/>
      <c r="P52" s="32"/>
      <c r="Q52" s="32"/>
      <c r="R52" s="32"/>
      <c r="S52" s="32"/>
      <c r="T52" s="35"/>
    </row>
    <row r="53" spans="6:22">
      <c r="F53" s="56"/>
      <c r="G53" s="60"/>
      <c r="H53" s="42"/>
      <c r="I53" s="42"/>
      <c r="J53" s="42"/>
      <c r="K53" s="42"/>
      <c r="N53" s="31" t="s">
        <v>62</v>
      </c>
      <c r="O53" s="32"/>
      <c r="P53" s="32"/>
      <c r="Q53" s="32"/>
      <c r="R53" s="32"/>
      <c r="S53" s="32"/>
      <c r="T53" s="35"/>
    </row>
    <row r="54" spans="6:22">
      <c r="F54" s="56"/>
      <c r="G54" s="62"/>
      <c r="H54" s="42"/>
      <c r="I54" s="42"/>
      <c r="J54" s="61"/>
      <c r="K54" s="42"/>
      <c r="N54" s="36" t="s">
        <v>5</v>
      </c>
      <c r="O54" s="37"/>
      <c r="P54" s="37"/>
      <c r="Q54" s="37"/>
      <c r="R54" s="37"/>
      <c r="S54" s="37"/>
      <c r="T54" s="38">
        <f>+J47</f>
        <v>52480.22</v>
      </c>
    </row>
    <row r="55" spans="6:22">
      <c r="F55" s="56"/>
      <c r="G55" s="62"/>
      <c r="H55" s="42"/>
      <c r="I55" s="42"/>
      <c r="J55" s="42"/>
      <c r="K55" s="42"/>
      <c r="N55" s="36" t="s">
        <v>6</v>
      </c>
      <c r="O55" s="37"/>
      <c r="P55" s="37"/>
      <c r="Q55" s="37"/>
      <c r="R55" s="37"/>
      <c r="S55" s="37"/>
      <c r="T55" s="38">
        <f>+K47</f>
        <v>2760.3799999999997</v>
      </c>
    </row>
    <row r="56" spans="6:22">
      <c r="F56" s="56"/>
      <c r="G56" s="62"/>
      <c r="H56" s="42"/>
      <c r="I56" s="42"/>
      <c r="J56" s="58"/>
      <c r="K56" s="42"/>
      <c r="N56" s="36" t="s">
        <v>7</v>
      </c>
      <c r="O56" s="37"/>
      <c r="P56" s="37"/>
      <c r="Q56" s="37"/>
      <c r="R56" s="37"/>
      <c r="S56" s="37"/>
      <c r="T56" s="38">
        <f>+L47</f>
        <v>0</v>
      </c>
    </row>
    <row r="57" spans="6:22">
      <c r="F57" s="56"/>
      <c r="G57" s="62"/>
      <c r="H57" s="42"/>
      <c r="I57" s="42"/>
      <c r="J57" s="42"/>
      <c r="K57" s="42"/>
      <c r="N57" s="36" t="s">
        <v>11</v>
      </c>
      <c r="O57" s="37"/>
      <c r="P57" s="39"/>
      <c r="Q57" s="37"/>
      <c r="R57" s="37"/>
      <c r="S57" s="39"/>
      <c r="T57" s="40">
        <f>+P47</f>
        <v>0</v>
      </c>
    </row>
    <row r="58" spans="6:22">
      <c r="F58" s="56"/>
      <c r="G58" s="62"/>
      <c r="H58" s="42"/>
      <c r="I58" s="42"/>
      <c r="J58" s="42"/>
      <c r="K58" s="42"/>
      <c r="N58" s="36" t="s">
        <v>63</v>
      </c>
      <c r="O58" s="37"/>
      <c r="P58" s="39"/>
      <c r="Q58" s="37"/>
      <c r="R58" s="37"/>
      <c r="S58" s="39"/>
      <c r="T58" s="40">
        <f>+N47</f>
        <v>0</v>
      </c>
    </row>
    <row r="59" spans="6:22">
      <c r="F59" s="56"/>
      <c r="G59" s="62"/>
      <c r="H59" s="42"/>
      <c r="I59" s="42"/>
      <c r="J59" s="42"/>
      <c r="K59" s="42"/>
      <c r="N59" s="36" t="s">
        <v>12</v>
      </c>
      <c r="O59" s="37"/>
      <c r="P59" s="39"/>
      <c r="Q59" s="37"/>
      <c r="R59" s="37"/>
      <c r="S59" s="39"/>
      <c r="T59" s="40">
        <f>+Q47</f>
        <v>0</v>
      </c>
    </row>
    <row r="60" spans="6:22">
      <c r="F60" s="56"/>
      <c r="G60" s="62"/>
      <c r="H60" s="42"/>
      <c r="I60" s="42"/>
      <c r="J60" s="42"/>
      <c r="K60" s="42"/>
      <c r="N60" s="36" t="s">
        <v>10</v>
      </c>
      <c r="O60" s="37"/>
      <c r="P60" s="39"/>
      <c r="Q60" s="37"/>
      <c r="R60" s="37"/>
      <c r="S60" s="39"/>
      <c r="T60" s="40">
        <f>+O47</f>
        <v>5.6843418860808015E-13</v>
      </c>
    </row>
    <row r="61" spans="6:22">
      <c r="F61" s="56"/>
      <c r="G61" s="62"/>
      <c r="H61" s="42"/>
      <c r="I61" s="42"/>
      <c r="J61" s="42"/>
      <c r="K61" s="42"/>
      <c r="N61" s="36" t="s">
        <v>64</v>
      </c>
      <c r="O61" s="37"/>
      <c r="P61" s="39"/>
      <c r="Q61" s="37"/>
      <c r="R61" s="37"/>
      <c r="S61" s="39"/>
      <c r="T61" s="40">
        <f>+M47</f>
        <v>0</v>
      </c>
    </row>
    <row r="62" spans="6:22">
      <c r="F62" s="56"/>
      <c r="G62" s="62"/>
      <c r="H62" s="42"/>
      <c r="I62" s="42"/>
      <c r="J62" s="42"/>
      <c r="K62" s="42"/>
      <c r="N62" s="36" t="s">
        <v>65</v>
      </c>
      <c r="O62" s="37"/>
      <c r="P62" s="39"/>
      <c r="Q62" s="37"/>
      <c r="R62" s="37"/>
      <c r="S62" s="39"/>
      <c r="T62" s="40">
        <f>+I47</f>
        <v>0</v>
      </c>
    </row>
    <row r="63" spans="6:22">
      <c r="F63" s="56"/>
      <c r="G63" s="63"/>
      <c r="H63" s="42"/>
      <c r="I63" s="42"/>
      <c r="J63" s="42"/>
      <c r="K63" s="42"/>
      <c r="N63" s="54" t="s">
        <v>14</v>
      </c>
      <c r="O63" s="37"/>
      <c r="P63" s="39"/>
      <c r="Q63" s="37"/>
      <c r="R63" s="37"/>
      <c r="S63" s="39"/>
      <c r="T63" s="55">
        <f>+S47</f>
        <v>0</v>
      </c>
    </row>
    <row r="64" spans="6:22">
      <c r="F64" s="56"/>
      <c r="G64" s="63"/>
      <c r="H64" s="42"/>
      <c r="I64" s="42"/>
      <c r="J64" s="42"/>
      <c r="K64" s="42"/>
      <c r="N64" s="54" t="s">
        <v>13</v>
      </c>
      <c r="O64" s="37"/>
      <c r="P64" s="39"/>
      <c r="Q64" s="37"/>
      <c r="R64" s="37"/>
      <c r="S64" s="39"/>
      <c r="T64" s="55">
        <f>+R47</f>
        <v>0</v>
      </c>
    </row>
    <row r="65" spans="6:21">
      <c r="F65" s="56"/>
      <c r="G65" s="62"/>
      <c r="H65" s="42"/>
      <c r="I65" s="42"/>
      <c r="J65" s="42"/>
      <c r="K65" s="42"/>
      <c r="N65" s="36"/>
      <c r="O65" s="37"/>
      <c r="P65" s="39"/>
      <c r="Q65" s="37"/>
      <c r="R65" s="37"/>
      <c r="S65" s="39"/>
      <c r="T65" s="40"/>
    </row>
    <row r="66" spans="6:21">
      <c r="F66" s="56"/>
      <c r="G66" s="60"/>
      <c r="H66" s="42"/>
      <c r="I66" s="42"/>
      <c r="J66" s="42"/>
      <c r="K66" s="42"/>
      <c r="N66" s="31" t="s">
        <v>66</v>
      </c>
      <c r="O66" s="32"/>
      <c r="P66" s="32"/>
      <c r="Q66" s="32"/>
      <c r="R66" s="32"/>
      <c r="S66" s="32"/>
      <c r="T66" s="38"/>
    </row>
    <row r="67" spans="6:21">
      <c r="F67" s="56"/>
      <c r="G67" s="60"/>
      <c r="H67" s="42"/>
      <c r="I67" s="42"/>
      <c r="J67" s="42"/>
      <c r="K67" s="42"/>
      <c r="N67" s="31" t="s">
        <v>67</v>
      </c>
      <c r="O67" s="32"/>
      <c r="P67" s="32"/>
      <c r="Q67" s="31"/>
      <c r="R67" s="32"/>
      <c r="S67" s="32"/>
      <c r="T67" s="41">
        <f>+SUM(T51:T66)</f>
        <v>170054.05</v>
      </c>
    </row>
    <row r="68" spans="6:21">
      <c r="F68" s="56"/>
      <c r="G68" s="64"/>
      <c r="H68" s="42"/>
      <c r="I68" s="42"/>
      <c r="J68" s="42"/>
      <c r="K68" s="42"/>
      <c r="L68" s="42"/>
      <c r="M68" s="42"/>
      <c r="N68" s="43"/>
      <c r="O68" s="44"/>
      <c r="P68" s="44"/>
      <c r="Q68" s="44"/>
      <c r="R68" s="44"/>
      <c r="S68" s="44"/>
      <c r="T68" s="45"/>
      <c r="U68" s="46"/>
    </row>
    <row r="69" spans="6:21">
      <c r="L69" s="42"/>
      <c r="M69" s="42"/>
      <c r="N69" s="42"/>
      <c r="O69" s="42"/>
      <c r="P69" s="42"/>
      <c r="Q69" s="47"/>
      <c r="R69" s="47"/>
      <c r="S69" s="32"/>
      <c r="T69" s="47"/>
      <c r="U69" s="46"/>
    </row>
    <row r="70" spans="6:21">
      <c r="L70" s="42"/>
      <c r="M70" s="42"/>
      <c r="N70" s="42"/>
      <c r="O70" s="42"/>
      <c r="P70" s="42"/>
      <c r="Q70" s="47"/>
      <c r="R70" s="47"/>
      <c r="S70" s="32"/>
      <c r="T70" s="47"/>
      <c r="U70" s="46"/>
    </row>
    <row r="71" spans="6:21">
      <c r="L71" s="42"/>
      <c r="M71" s="42"/>
      <c r="N71" s="42"/>
      <c r="O71" s="42"/>
      <c r="P71" s="42"/>
      <c r="Q71" s="47"/>
      <c r="R71" s="47"/>
      <c r="S71" s="32"/>
      <c r="T71" s="47"/>
      <c r="U71" s="46"/>
    </row>
    <row r="72" spans="6:21">
      <c r="L72" s="42"/>
      <c r="M72" s="42"/>
      <c r="N72" s="42"/>
      <c r="O72" s="42"/>
      <c r="P72" s="42"/>
      <c r="Q72" s="47"/>
      <c r="R72" s="47"/>
      <c r="S72" s="32"/>
      <c r="T72" s="47"/>
      <c r="U72" s="46"/>
    </row>
    <row r="73" spans="6:21">
      <c r="L73" s="42"/>
      <c r="M73" s="42"/>
      <c r="N73" s="42"/>
      <c r="O73" s="42"/>
      <c r="P73" s="42"/>
      <c r="Q73" s="47"/>
      <c r="R73" s="47"/>
      <c r="S73" s="32"/>
      <c r="T73" s="47"/>
      <c r="U73" s="46"/>
    </row>
    <row r="74" spans="6:21">
      <c r="L74" s="42"/>
      <c r="M74" s="42"/>
      <c r="N74" s="42"/>
      <c r="O74" s="42"/>
      <c r="P74" s="42"/>
      <c r="Q74" s="47"/>
      <c r="R74" s="47"/>
      <c r="S74" s="32"/>
      <c r="T74" s="47"/>
      <c r="U74" s="46"/>
    </row>
    <row r="75" spans="6:21">
      <c r="L75" s="42"/>
      <c r="M75" s="42"/>
      <c r="N75" s="42"/>
      <c r="O75" s="42"/>
      <c r="P75" s="42"/>
      <c r="Q75" s="47"/>
      <c r="R75" s="47"/>
      <c r="S75" s="32"/>
      <c r="T75" s="47"/>
      <c r="U75" s="46"/>
    </row>
    <row r="76" spans="6:21">
      <c r="L76" s="42"/>
      <c r="M76" s="42"/>
      <c r="N76" s="42"/>
      <c r="O76" s="42"/>
      <c r="P76" s="42"/>
      <c r="Q76" s="47"/>
      <c r="R76" s="47"/>
      <c r="S76" s="32"/>
      <c r="T76" s="47"/>
      <c r="U76" s="46"/>
    </row>
    <row r="77" spans="6:21">
      <c r="L77" s="42"/>
      <c r="M77" s="42"/>
      <c r="N77" s="42"/>
      <c r="O77" s="42"/>
      <c r="P77" s="42"/>
      <c r="Q77" s="47"/>
      <c r="R77" s="47"/>
      <c r="S77" s="32"/>
      <c r="T77" s="47"/>
      <c r="U77" s="46"/>
    </row>
    <row r="78" spans="6:21">
      <c r="L78" s="42"/>
      <c r="M78" s="42"/>
      <c r="N78" s="42"/>
      <c r="O78" s="42"/>
      <c r="P78" s="42"/>
      <c r="Q78" s="47"/>
      <c r="R78" s="47"/>
      <c r="S78" s="32"/>
      <c r="T78" s="47"/>
      <c r="U78" s="46"/>
    </row>
    <row r="79" spans="6:21">
      <c r="L79" s="42"/>
      <c r="M79" s="42"/>
      <c r="N79" s="42"/>
      <c r="O79" s="42"/>
      <c r="P79" s="42"/>
      <c r="Q79" s="47"/>
      <c r="R79" s="47"/>
      <c r="S79" s="32"/>
      <c r="T79" s="47"/>
      <c r="U79" s="46"/>
    </row>
    <row r="80" spans="6:21">
      <c r="L80" s="42"/>
      <c r="M80" s="42"/>
      <c r="N80" s="42"/>
      <c r="O80" s="42"/>
      <c r="P80" s="42"/>
      <c r="Q80" s="47"/>
      <c r="R80" s="47"/>
      <c r="S80" s="32"/>
      <c r="T80" s="47"/>
      <c r="U80" s="46"/>
    </row>
    <row r="81" spans="1:21">
      <c r="L81" s="42"/>
      <c r="M81" s="42"/>
      <c r="N81" s="42"/>
      <c r="O81" s="42"/>
      <c r="P81" s="42"/>
      <c r="Q81" s="42"/>
      <c r="R81" s="42"/>
      <c r="S81" s="42"/>
      <c r="T81" s="42"/>
      <c r="U81" s="46"/>
    </row>
    <row r="82" spans="1:21" s="52" customFormat="1" ht="12">
      <c r="A82" s="48"/>
      <c r="B82" s="48"/>
      <c r="C82" s="48"/>
      <c r="D82" s="48"/>
      <c r="E82" s="48"/>
      <c r="F82" s="48"/>
      <c r="G82" s="49" t="s">
        <v>68</v>
      </c>
      <c r="H82" s="53">
        <f>-SUM(I82:S82)</f>
        <v>-53971.380000000005</v>
      </c>
      <c r="I82" s="51">
        <v>4012.18</v>
      </c>
      <c r="J82" s="50"/>
      <c r="K82" s="50"/>
      <c r="L82" s="50"/>
      <c r="M82" s="51">
        <v>11175.72</v>
      </c>
      <c r="N82" s="51">
        <v>36282.980000000003</v>
      </c>
      <c r="O82" s="51">
        <v>-419.36</v>
      </c>
      <c r="P82" s="50"/>
      <c r="Q82" s="51">
        <f>2000-1520</f>
        <v>480</v>
      </c>
      <c r="R82" s="51">
        <v>2409.58</v>
      </c>
      <c r="S82" s="51">
        <v>30.28</v>
      </c>
      <c r="T82" s="51">
        <f>ROUND(SUM(H82:S82),5)</f>
        <v>0</v>
      </c>
    </row>
    <row r="83" spans="1:21">
      <c r="G83" s="49" t="s">
        <v>68</v>
      </c>
      <c r="H83" s="53">
        <f>-SUM(I83:S83)</f>
        <v>-24100.9</v>
      </c>
      <c r="I83" s="53"/>
      <c r="J83" s="53">
        <v>0</v>
      </c>
      <c r="K83" s="53"/>
      <c r="L83" s="53">
        <v>19415.900000000001</v>
      </c>
      <c r="M83" s="53"/>
      <c r="N83" s="53"/>
      <c r="O83" s="53"/>
      <c r="P83" s="53">
        <v>4685</v>
      </c>
      <c r="Q83" s="53"/>
      <c r="R83" s="53"/>
      <c r="S83" s="53"/>
      <c r="T83" s="51">
        <f>ROUND(SUM(H83:S83),5)</f>
        <v>0</v>
      </c>
    </row>
    <row r="84" spans="1:21">
      <c r="G84" s="49" t="s">
        <v>69</v>
      </c>
      <c r="H84" s="53">
        <f>-SUM(I84:S84)</f>
        <v>-17000</v>
      </c>
      <c r="I84" s="53"/>
      <c r="J84" s="53">
        <v>17000</v>
      </c>
      <c r="K84" s="53"/>
      <c r="T84" s="51">
        <f>ROUND(SUM(H84:S84),5)</f>
        <v>0</v>
      </c>
    </row>
  </sheetData>
  <pageMargins left="0.7" right="0.7" top="0.75" bottom="0.75" header="0.25" footer="0.3"/>
  <pageSetup scale="33" orientation="portrait"/>
  <headerFooter>
    <oddFooter>&amp;R&amp;"Arial,Bold"&amp;11 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2015-03-07T03:30:22Z</dcterms:created>
  <dcterms:modified xsi:type="dcterms:W3CDTF">2015-03-10T20:43:12Z</dcterms:modified>
</cp:coreProperties>
</file>