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Full 2016 budget" sheetId="1" r:id="rId1"/>
    <sheet name="Conference" sheetId="9" r:id="rId2"/>
    <sheet name="Metrics Project" sheetId="2" r:id="rId3"/>
    <sheet name="Media Policy" sheetId="3" r:id="rId4"/>
    <sheet name="What Counts" sheetId="4" r:id="rId5"/>
    <sheet name="Vocus" sheetId="7" r:id="rId6"/>
    <sheet name="Chartbeat" sheetId="8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1" l="1"/>
  <c r="F39" i="1"/>
  <c r="G26" i="1"/>
  <c r="F26" i="1"/>
  <c r="D39" i="1"/>
  <c r="E39" i="1"/>
  <c r="E46" i="1"/>
  <c r="E62" i="1"/>
  <c r="F46" i="1"/>
  <c r="F62" i="1"/>
  <c r="G46" i="1"/>
  <c r="G62" i="1"/>
  <c r="D26" i="1"/>
  <c r="E24" i="1"/>
  <c r="E26" i="1"/>
  <c r="F24" i="1"/>
  <c r="G24" i="1"/>
  <c r="D24" i="1"/>
  <c r="E36" i="1"/>
  <c r="E59" i="1"/>
  <c r="E71" i="1"/>
  <c r="F36" i="1"/>
  <c r="F59" i="1"/>
  <c r="F71" i="1"/>
  <c r="G36" i="1"/>
  <c r="G59" i="1"/>
  <c r="G71" i="1"/>
  <c r="D36" i="1"/>
  <c r="D46" i="1"/>
  <c r="D59" i="1"/>
  <c r="D62" i="1"/>
  <c r="D71" i="1"/>
  <c r="I50" i="7"/>
  <c r="I52" i="7"/>
  <c r="J52" i="7"/>
  <c r="I8" i="7"/>
  <c r="E37" i="3"/>
  <c r="E48" i="3"/>
  <c r="E54" i="3"/>
  <c r="E68" i="3"/>
  <c r="F68" i="3"/>
  <c r="F81" i="3"/>
  <c r="E81" i="3"/>
  <c r="F37" i="3"/>
  <c r="D4" i="1"/>
  <c r="E4" i="1"/>
  <c r="F48" i="3"/>
  <c r="F54" i="3"/>
  <c r="F18" i="3"/>
  <c r="I9" i="3"/>
  <c r="I14" i="3"/>
  <c r="I18" i="3"/>
  <c r="I37" i="3"/>
  <c r="I46" i="3"/>
  <c r="I48" i="3"/>
  <c r="I51" i="3"/>
  <c r="I54" i="3"/>
  <c r="E14" i="9"/>
  <c r="C26" i="9"/>
  <c r="E12" i="9"/>
  <c r="E13" i="9"/>
  <c r="C27" i="9"/>
  <c r="C30" i="9"/>
  <c r="C37" i="9"/>
  <c r="C42" i="9"/>
  <c r="C52" i="9"/>
  <c r="C63" i="9"/>
  <c r="C76" i="9"/>
  <c r="C83" i="9"/>
  <c r="C86" i="9"/>
  <c r="C88" i="9"/>
  <c r="B30" i="9"/>
  <c r="B37" i="9"/>
  <c r="B69" i="9"/>
  <c r="B42" i="9"/>
  <c r="B52" i="9"/>
  <c r="B63" i="9"/>
  <c r="B76" i="9"/>
  <c r="B83" i="9"/>
  <c r="B86" i="9"/>
  <c r="B88" i="9"/>
  <c r="F19" i="9"/>
  <c r="E19" i="9"/>
  <c r="C19" i="9"/>
  <c r="B19" i="9"/>
  <c r="K12" i="9"/>
  <c r="H37" i="3"/>
  <c r="H46" i="3"/>
  <c r="H48" i="3"/>
  <c r="E17" i="2"/>
  <c r="E27" i="2"/>
  <c r="E31" i="2"/>
  <c r="E33" i="2"/>
  <c r="K17" i="4"/>
  <c r="H26" i="4"/>
  <c r="H30" i="4"/>
  <c r="H32" i="4"/>
  <c r="B17" i="4"/>
  <c r="C10" i="4"/>
  <c r="D10" i="4"/>
  <c r="F10" i="4"/>
  <c r="C12" i="4"/>
  <c r="D12" i="4"/>
  <c r="F12" i="4"/>
  <c r="F17" i="4"/>
  <c r="B26" i="4"/>
  <c r="B27" i="4"/>
  <c r="B30" i="4"/>
  <c r="B32" i="4"/>
  <c r="M28" i="4"/>
  <c r="L17" i="4"/>
  <c r="H17" i="4"/>
  <c r="C11" i="4"/>
  <c r="C13" i="4"/>
  <c r="C14" i="4"/>
  <c r="C15" i="4"/>
  <c r="C16" i="4"/>
  <c r="E17" i="4"/>
  <c r="C8" i="4"/>
  <c r="C9" i="4"/>
  <c r="C17" i="4"/>
  <c r="D16" i="4"/>
  <c r="D15" i="4"/>
  <c r="D14" i="4"/>
  <c r="D13" i="4"/>
  <c r="D11" i="4"/>
  <c r="D9" i="4"/>
  <c r="D8" i="4"/>
  <c r="G8" i="2"/>
  <c r="G15" i="2"/>
  <c r="G17" i="2"/>
  <c r="G27" i="2"/>
  <c r="G31" i="2"/>
  <c r="G33" i="2"/>
  <c r="K48" i="3"/>
  <c r="K54" i="3"/>
  <c r="J50" i="7"/>
  <c r="H27" i="2"/>
  <c r="H8" i="2"/>
  <c r="H15" i="2"/>
  <c r="H17" i="2"/>
  <c r="H31" i="2"/>
  <c r="H33" i="2"/>
  <c r="H51" i="3"/>
</calcChain>
</file>

<file path=xl/sharedStrings.xml><?xml version="1.0" encoding="utf-8"?>
<sst xmlns="http://schemas.openxmlformats.org/spreadsheetml/2006/main" count="444" uniqueCount="365">
  <si>
    <t>Starting Grant Balance</t>
  </si>
  <si>
    <t>Starting Unrestricted</t>
  </si>
  <si>
    <t>Starting Restricted</t>
  </si>
  <si>
    <t>MDF</t>
  </si>
  <si>
    <t>Voqal</t>
  </si>
  <si>
    <t>Donor</t>
  </si>
  <si>
    <t>Projected Unrestricted</t>
  </si>
  <si>
    <t>Projected Restricted</t>
  </si>
  <si>
    <t>Notes</t>
  </si>
  <si>
    <t>REVENUE</t>
  </si>
  <si>
    <t>GRANTS</t>
  </si>
  <si>
    <t>Sponsors</t>
  </si>
  <si>
    <t>EARNED</t>
  </si>
  <si>
    <t>Proposed</t>
  </si>
  <si>
    <t>Actual</t>
  </si>
  <si>
    <t>Conf Reg (members)</t>
  </si>
  <si>
    <t>Conf Reg (non-members)</t>
  </si>
  <si>
    <t>Services (Vocus)</t>
  </si>
  <si>
    <t>Services (What Counts)</t>
  </si>
  <si>
    <t>Member Dues</t>
  </si>
  <si>
    <t>TMC</t>
  </si>
  <si>
    <t>TOTAL REVENUE</t>
  </si>
  <si>
    <t>EXPENSE</t>
  </si>
  <si>
    <t>OVERHEAD</t>
  </si>
  <si>
    <t>Sponsorship Fee</t>
  </si>
  <si>
    <t>Personnel</t>
  </si>
  <si>
    <t>Personnel-FTE</t>
  </si>
  <si>
    <t>Admin</t>
  </si>
  <si>
    <t>Office Rent</t>
  </si>
  <si>
    <t>Bank/Credit Fees</t>
  </si>
  <si>
    <t>Program</t>
  </si>
  <si>
    <t>Promotion</t>
  </si>
  <si>
    <t>Internet Access</t>
  </si>
  <si>
    <t>Website Fees</t>
  </si>
  <si>
    <t>Program (misc)</t>
  </si>
  <si>
    <t>Contractor Reimburse</t>
  </si>
  <si>
    <t>Legal</t>
  </si>
  <si>
    <t>Conferences</t>
  </si>
  <si>
    <t>Hardware/ Software Non-Cap</t>
  </si>
  <si>
    <t>Software Licensing</t>
  </si>
  <si>
    <t>Travel</t>
  </si>
  <si>
    <t>Entertainment-Meals</t>
  </si>
  <si>
    <t>Events</t>
  </si>
  <si>
    <t>Office Supplies</t>
  </si>
  <si>
    <t>Postage</t>
  </si>
  <si>
    <t>Member Capacity Building</t>
  </si>
  <si>
    <t>EEJF</t>
  </si>
  <si>
    <t>TOTAL EXPENSE</t>
  </si>
  <si>
    <t>Contingency</t>
  </si>
  <si>
    <t>BALANCE</t>
  </si>
  <si>
    <t>Contractor</t>
  </si>
  <si>
    <t>Metrics Project Budget 2015</t>
  </si>
  <si>
    <t>Project Restricted</t>
  </si>
  <si>
    <t>Total Revenue</t>
  </si>
  <si>
    <t>Contractor (contingency)</t>
  </si>
  <si>
    <t>Personnel (2014)</t>
  </si>
  <si>
    <t>Personnel (2015)</t>
  </si>
  <si>
    <t>correx--bookkeeping incorrect in 2014</t>
  </si>
  <si>
    <t>True Starting Balance</t>
  </si>
  <si>
    <t>This money is being rerouted to the Metrics Project from the Kauai project</t>
  </si>
  <si>
    <t>Subtotal New Revenue:</t>
  </si>
  <si>
    <t>subtotal</t>
  </si>
  <si>
    <t>Total Expense</t>
  </si>
  <si>
    <t>Balance</t>
  </si>
  <si>
    <t>metrics conference (reg+hotelx3+travel)</t>
  </si>
  <si>
    <t>To Operating Reserves</t>
  </si>
  <si>
    <t>(Kauai + Metrics)</t>
  </si>
  <si>
    <t>Provided on completion of experiments</t>
  </si>
  <si>
    <t>Ave. email/mo</t>
  </si>
  <si>
    <t>Percent</t>
  </si>
  <si>
    <t>Cost to Realm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</si>
  <si>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</si>
  <si>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</si>
  <si>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</si>
  <si>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</si>
  <si>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</si>
  <si>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</si>
  <si>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</si>
  <si>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</si>
  <si>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</si>
  <si>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</si>
  <si>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</si>
  <si>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Outlet</t>
  </si>
  <si>
    <t>Name</t>
  </si>
  <si>
    <t>phone</t>
  </si>
  <si>
    <t>email</t>
  </si>
  <si>
    <t>Address</t>
  </si>
  <si>
    <t>Purchaser</t>
  </si>
  <si>
    <t>Jo Ellen Kaiser</t>
  </si>
  <si>
    <t>Jkaiser</t>
  </si>
  <si>
    <t>joellen@themediaconsortium.com</t>
  </si>
  <si>
    <t>Care2</t>
  </si>
  <si>
    <t>Joe Baker</t>
  </si>
  <si>
    <t>joe@care2team.com</t>
  </si>
  <si>
    <t>Emily Logan</t>
  </si>
  <si>
    <t>Elogan</t>
  </si>
  <si>
    <t>care0003</t>
  </si>
  <si>
    <t>emily@care2team.com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</si>
  <si>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</si>
  <si>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</si>
  <si>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</si>
  <si>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</si>
  <si>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</si>
  <si>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</si>
  <si>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</si>
  <si>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0002</t>
  </si>
  <si>
    <t>hcn0002</t>
  </si>
  <si>
    <t>JoAnn Kalenak</t>
  </si>
  <si>
    <t>JKalenak</t>
  </si>
  <si>
    <t>hcn0003</t>
  </si>
  <si>
    <t>joann@hcn.org</t>
  </si>
  <si>
    <t>In These Times</t>
  </si>
  <si>
    <t>Alex Lubben</t>
  </si>
  <si>
    <t>ALubben</t>
  </si>
  <si>
    <t>itt0003</t>
  </si>
  <si>
    <t>Alexlubben@gmail.com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</si>
  <si>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</si>
  <si>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</si>
  <si>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</si>
  <si>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</si>
  <si>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</si>
  <si>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</si>
  <si>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</si>
  <si>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</si>
  <si>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</si>
  <si>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</si>
  <si>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</si>
  <si>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</si>
  <si>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</si>
  <si>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</si>
  <si>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</si>
  <si>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</si>
  <si>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</si>
  <si>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</si>
  <si>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</si>
  <si>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</si>
  <si>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</si>
  <si>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</si>
  <si>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AAN</t>
  </si>
  <si>
    <t>Jason Zaragoza</t>
  </si>
  <si>
    <t>Jzaragoza</t>
  </si>
  <si>
    <t>aan0002</t>
  </si>
  <si>
    <t>jzaragoza@aan.org</t>
  </si>
  <si>
    <t>1156 15th Street, N.W., Suite 1005</t>
  </si>
  <si>
    <t>Tschackelford</t>
  </si>
  <si>
    <t>aan0003</t>
  </si>
  <si>
    <t>tshackelford@aan.org</t>
  </si>
  <si>
    <t>Washington, D.C. 20005</t>
  </si>
  <si>
    <t>Non-Paying Attendees</t>
  </si>
  <si>
    <t xml:space="preserve">  Exhibitors</t>
  </si>
  <si>
    <t xml:space="preserve">  Volunteers/Staff</t>
  </si>
  <si>
    <t>Paid Attendees</t>
  </si>
  <si>
    <t xml:space="preserve">  Non-Members (Full conf)</t>
  </si>
  <si>
    <t>Total Attendees</t>
  </si>
  <si>
    <t>Revenue</t>
  </si>
  <si>
    <t>Actual 2014</t>
  </si>
  <si>
    <t>Sponsorships</t>
  </si>
  <si>
    <t>Exhibitors</t>
  </si>
  <si>
    <t>Non-Member Meeting Fees</t>
  </si>
  <si>
    <t>Member Fees</t>
  </si>
  <si>
    <t>Restricted Donations</t>
  </si>
  <si>
    <t>Unrestricted Donations</t>
  </si>
  <si>
    <t>Expenses</t>
  </si>
  <si>
    <t>Event Rental</t>
  </si>
  <si>
    <t>Subtotal</t>
  </si>
  <si>
    <t>Meals &amp; Entertainment</t>
  </si>
  <si>
    <t>Thursday Meetings</t>
  </si>
  <si>
    <t>Friday Meetings</t>
  </si>
  <si>
    <t>Saturday AM Meetings</t>
  </si>
  <si>
    <t>Travel &amp; Hotel</t>
  </si>
  <si>
    <t xml:space="preserve">  Guest Speakers</t>
  </si>
  <si>
    <t xml:space="preserve">  Director Travel</t>
  </si>
  <si>
    <t>Supplies and Misc</t>
  </si>
  <si>
    <t xml:space="preserve">  Website</t>
  </si>
  <si>
    <t xml:space="preserve">  Supplies</t>
  </si>
  <si>
    <t xml:space="preserve">  Postage</t>
  </si>
  <si>
    <t>Total Expenses</t>
  </si>
  <si>
    <t>Cision</t>
  </si>
  <si>
    <t>Paid 2015*</t>
  </si>
  <si>
    <t>600/12 mos, shared seat</t>
  </si>
  <si>
    <t>Alexis Halbert</t>
  </si>
  <si>
    <t>alexishalbert@hcn.org</t>
  </si>
  <si>
    <t>2040 N Milwaukee Ave</t>
  </si>
  <si>
    <t xml:space="preserve"> Chicago IL 60647</t>
  </si>
  <si>
    <t>Nation Institute</t>
  </si>
  <si>
    <t>Roz Hunter</t>
  </si>
  <si>
    <t>Rhunter</t>
  </si>
  <si>
    <t>nin0002</t>
  </si>
  <si>
    <t>212-822-0250</t>
  </si>
  <si>
    <t>roz@nationinstitute.org</t>
  </si>
  <si>
    <t>The Nation Institute</t>
  </si>
  <si>
    <t>116 East 16th Street</t>
  </si>
  <si>
    <t>8th Floor</t>
  </si>
  <si>
    <t>New York, NY 10003</t>
  </si>
  <si>
    <t>Oximity</t>
  </si>
  <si>
    <t>Sanjay Goel</t>
  </si>
  <si>
    <t>Sgoel</t>
  </si>
  <si>
    <t>oxi0002</t>
  </si>
  <si>
    <t xml:space="preserve">sanjay.goel@oximity.com </t>
  </si>
  <si>
    <t>c/o JAG Shaw Baker</t>
  </si>
  <si>
    <t>33 St James’s Square</t>
  </si>
  <si>
    <t>London SW1Y 4JS</t>
  </si>
  <si>
    <t>United Kingdom</t>
  </si>
  <si>
    <t>1200 18th Street NW</t>
  </si>
  <si>
    <t>Matt Connolly</t>
  </si>
  <si>
    <t>Mconnolly</t>
  </si>
  <si>
    <t>wam0004</t>
  </si>
  <si>
    <t>mconnolly@washingtonmonthly.com</t>
  </si>
  <si>
    <t>Suite 330</t>
  </si>
  <si>
    <t>Washington, DC 20036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</si>
  <si>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</si>
  <si>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</si>
  <si>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</si>
  <si>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</si>
  <si>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</si>
  <si>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Contractor (Curriculum)</t>
  </si>
  <si>
    <t>Grant Allocated</t>
  </si>
  <si>
    <t>(Kaiser) to manage programs, work on strategic plan</t>
  </si>
  <si>
    <t>Earned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</si>
  <si>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</si>
  <si>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</si>
  <si>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</si>
  <si>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</si>
  <si>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</si>
  <si>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</si>
  <si>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</si>
  <si>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</si>
  <si>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Contractor (Webpage)</t>
  </si>
  <si>
    <t>Event (A/V)</t>
  </si>
  <si>
    <t>Travel (Speakers)</t>
  </si>
  <si>
    <t>Meals (coffee/snack at workshops)</t>
  </si>
  <si>
    <t>Reg Fees</t>
  </si>
  <si>
    <t>Program-Strategic Plan for Sector--coverd by MDF grant</t>
  </si>
  <si>
    <t>Cost for Kaiser to travel for merger</t>
  </si>
  <si>
    <t>add $840 (row 23) to get 13555</t>
  </si>
  <si>
    <t>25,000 less FNP 7%</t>
  </si>
  <si>
    <t>2015 Approved</t>
  </si>
  <si>
    <t>ave email/mo</t>
  </si>
  <si>
    <t>percent</t>
  </si>
  <si>
    <t>cost to TMC</t>
  </si>
  <si>
    <t>invoice</t>
  </si>
  <si>
    <t>Paid</t>
  </si>
  <si>
    <t>Invoice</t>
  </si>
  <si>
    <t>Paid?</t>
  </si>
  <si>
    <t>Interested</t>
  </si>
  <si>
    <t>FSRN</t>
  </si>
  <si>
    <t>s</t>
  </si>
  <si>
    <t>Waging Nonviolence</t>
  </si>
  <si>
    <t>Contracted Amount</t>
  </si>
  <si>
    <t>.22/1M overage</t>
  </si>
  <si>
    <t>TMC Admin</t>
  </si>
  <si>
    <t>Total Expense:</t>
  </si>
  <si>
    <t>TMC Balance</t>
  </si>
  <si>
    <t>Minimum is $10/month</t>
  </si>
  <si>
    <t>Outlets paying over $10/month pay an extra $50/year for consultant; exception this year for VO.</t>
  </si>
  <si>
    <t>The program has meant that we've been able to stay in touch with our supporters at an incredibly reasonable price. WhatCounts itself is reliable and "just works".</t>
  </si>
  <si>
    <t>Charlie Harvey, New Internationalist</t>
  </si>
  <si>
    <t>Proposed 2016</t>
  </si>
  <si>
    <t>Current Balance</t>
  </si>
  <si>
    <t>(Our essentially operating cost is $150K. This gives us 4 months of reserves)</t>
  </si>
  <si>
    <t>Ba;ance = MDF restricted funds to be used in 2017 if awarded</t>
  </si>
  <si>
    <t>2016 Annual Meeting Budget</t>
  </si>
  <si>
    <t xml:space="preserve">  Members--full rate</t>
  </si>
  <si>
    <t>@$125</t>
  </si>
  <si>
    <t xml:space="preserve">  Members-scholarship rate</t>
  </si>
  <si>
    <t>@$75</t>
  </si>
  <si>
    <t>@$250</t>
  </si>
  <si>
    <t xml:space="preserve">  Non-Members scholarship rate</t>
  </si>
  <si>
    <t>Logistics/Program(Jo Ellen)</t>
  </si>
  <si>
    <t>Race Equity Training</t>
  </si>
  <si>
    <t>Race Forward Trainers</t>
  </si>
  <si>
    <t>Travel/Hotel for Trainers</t>
  </si>
  <si>
    <t>Wednesday Rooms</t>
  </si>
  <si>
    <t>Wednesday Reception (MIF)</t>
  </si>
  <si>
    <t>Thursday Rooms</t>
  </si>
  <si>
    <t>Thursday Impact Awards (PhillyCam)</t>
  </si>
  <si>
    <t>Friday Rooms</t>
  </si>
  <si>
    <t>Saturday Rooms</t>
  </si>
  <si>
    <t>Lunch on Thurs and Fri; coffee all days</t>
  </si>
  <si>
    <t>Wednesday Meetings</t>
  </si>
  <si>
    <t>Assume 75 for lunch, 100 for coffee, total attendees 150 over 3 days</t>
  </si>
  <si>
    <t>Thursday Impact Awards</t>
  </si>
  <si>
    <t xml:space="preserve">  Attendees (scholarship fund)</t>
  </si>
  <si>
    <t xml:space="preserve">  Staff Travel (Manolia)</t>
  </si>
  <si>
    <t xml:space="preserve">  Printing (posters-mobile program)</t>
  </si>
  <si>
    <t>Grants to attend IRE workshop</t>
  </si>
  <si>
    <t>Grants for speaker travel to IRE workshop</t>
  </si>
  <si>
    <t>Kaiser to organize IRE workshop and webinars</t>
  </si>
  <si>
    <t>(FNP sponsorship fee 7%)</t>
  </si>
  <si>
    <t>Overhead</t>
  </si>
  <si>
    <t>Coffee at IRE workshop (MDF credited as sponsor)</t>
  </si>
  <si>
    <t>Still negotiating with IRE on whether we will ask for separate reg fee</t>
  </si>
  <si>
    <t>2016 Actual</t>
  </si>
  <si>
    <t>Services (Chartbeat)</t>
  </si>
  <si>
    <t>AAN is handling fees on this</t>
  </si>
  <si>
    <t>Race Forward</t>
  </si>
  <si>
    <t xml:space="preserve">  Speakers</t>
  </si>
  <si>
    <t xml:space="preserve">  Guests (MIF + local Philly)</t>
  </si>
  <si>
    <t xml:space="preserve">  Press</t>
  </si>
  <si>
    <t xml:space="preserve">  INN/AAN/etc members</t>
  </si>
  <si>
    <t>@150</t>
  </si>
  <si>
    <t xml:space="preserve">  Students</t>
  </si>
  <si>
    <t>@75</t>
  </si>
  <si>
    <t>Program Coordinator (Manolia)</t>
  </si>
  <si>
    <t>Fri Night Venue(MIF)</t>
  </si>
  <si>
    <t>Bagels on Thurs and Fri; fruit snack Thurs and Fri</t>
  </si>
  <si>
    <t>Wednesday Reception (TMCincolor)</t>
  </si>
  <si>
    <t>Free drinks at Strangeloves</t>
  </si>
  <si>
    <t>Final count: 135 on Thurs, 80 Fri, 50 Sat</t>
  </si>
  <si>
    <t>*costco, wine shop</t>
  </si>
  <si>
    <t>Friday Party (Cash bar)</t>
  </si>
  <si>
    <t>AV + Resources (easels etc)</t>
  </si>
  <si>
    <t>Mikes not included in rooms (projectors were)</t>
  </si>
  <si>
    <t>Wednesday</t>
  </si>
  <si>
    <t>We had this expense due to so many people!</t>
  </si>
  <si>
    <t>Thursday</t>
  </si>
  <si>
    <t>Also livestream required mikes/mixers</t>
  </si>
  <si>
    <t>Friday</t>
  </si>
  <si>
    <t>staples</t>
  </si>
  <si>
    <t>Chr</t>
  </si>
  <si>
    <r>
      <t xml:space="preserve">2015 Actual </t>
    </r>
    <r>
      <rPr>
        <b/>
        <sz val="12"/>
        <color theme="1"/>
        <rFont val="Calibri"/>
        <family val="2"/>
        <scheme val="minor"/>
      </rPr>
      <t>FINAL</t>
    </r>
  </si>
  <si>
    <t>2016 Approved</t>
  </si>
  <si>
    <t>Paid 2016</t>
  </si>
  <si>
    <t>Rebekah Spicugula</t>
  </si>
  <si>
    <t>Rspicugula</t>
  </si>
  <si>
    <t>rf0002</t>
  </si>
  <si>
    <t>tmc0001</t>
  </si>
  <si>
    <t>Actual 2016</t>
  </si>
  <si>
    <t xml:space="preserve">Software </t>
  </si>
  <si>
    <t>Malavika Jayaram</t>
  </si>
  <si>
    <t>Steven Renderos</t>
  </si>
  <si>
    <t>Amina Fazlullah</t>
  </si>
  <si>
    <t>Travel Grants</t>
  </si>
  <si>
    <t>Jess Clarke</t>
  </si>
  <si>
    <t>Paul Koberstein</t>
  </si>
  <si>
    <t>Candice Bernd</t>
  </si>
  <si>
    <t>Trenae Nuri</t>
  </si>
  <si>
    <t>Aaron Cantu</t>
  </si>
  <si>
    <t>Sylvia Harvey</t>
  </si>
  <si>
    <t>Araz Hachadourian</t>
  </si>
  <si>
    <t>RPE</t>
  </si>
  <si>
    <t>Cascadia Times</t>
  </si>
  <si>
    <t>Truthout</t>
  </si>
  <si>
    <t>PhillyCam</t>
  </si>
  <si>
    <t>freelance</t>
  </si>
  <si>
    <t>Speaker Travel</t>
  </si>
  <si>
    <t>Mike Ludwig</t>
  </si>
  <si>
    <t>Granted</t>
  </si>
  <si>
    <t>Rebecca Burns</t>
  </si>
  <si>
    <t>Yes</t>
  </si>
  <si>
    <t>Kaavya Asoka</t>
  </si>
  <si>
    <t>Dissent</t>
  </si>
  <si>
    <t>wire transfer fee</t>
  </si>
  <si>
    <t>Paid (actuals)</t>
  </si>
  <si>
    <t>1750/mo Jan 1-June 31</t>
  </si>
  <si>
    <t>Aeon</t>
  </si>
  <si>
    <t>Base COST</t>
  </si>
  <si>
    <t>Social Media Rider</t>
  </si>
  <si>
    <t>Total Cost</t>
  </si>
  <si>
    <t>Received</t>
  </si>
  <si>
    <t>Due August 20616; Contract runs Sept1-Aug 31</t>
  </si>
  <si>
    <t>Sponsorship (Conf)</t>
  </si>
  <si>
    <t>Capacity Grants</t>
  </si>
  <si>
    <t>We were fined overuse and passed cost to outlets</t>
  </si>
  <si>
    <t>Expeected sponsorship was booked as a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</si>
</sst>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&quot;$&quot;#,##0.00"/>
    <numFmt numFmtId="167" formatCode="&quot;$&quot;#,##0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name val="Calibri"/>
      <scheme val="minor"/>
    </font>
    <font>
      <sz val="12"/>
      <name val="Calibri"/>
      <family val="2"/>
      <scheme val="minor"/>
    </font>
    <font>
      <b/>
      <u/>
      <sz val="12"/>
      <name val="Calibri"/>
      <scheme val="minor"/>
    </font>
    <font>
      <u/>
      <sz val="12"/>
      <name val="Calibri"/>
      <scheme val="minor"/>
    </font>
    <font>
      <b/>
      <sz val="10"/>
      <name val="Verdana"/>
      <family val="2"/>
    </font>
    <font>
      <u/>
      <sz val="10"/>
      <name val="Verdana"/>
    </font>
    <font>
      <sz val="12"/>
      <color theme="0" tint="-0.499984740745262"/>
      <name val="Calibri"/>
      <scheme val="minor"/>
    </font>
    <font>
      <b/>
      <sz val="12"/>
      <color theme="0" tint="-0.499984740745262"/>
      <name val="Calibri"/>
      <scheme val="minor"/>
    </font>
    <font>
      <sz val="12"/>
      <color rgb="FF0000FF"/>
      <name val="Calibri"/>
      <scheme val="minor"/>
    </font>
    <font>
      <sz val="12"/>
      <color theme="1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sz val="10"/>
      <name val="Verdana"/>
    </font>
    <font>
      <sz val="12"/>
      <color theme="7"/>
      <name val="Calibri"/>
      <scheme val="minor"/>
    </font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3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166" fontId="3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0" fontId="2" fillId="0" borderId="0" xfId="0" applyFont="1"/>
    <xf numFmtId="167" fontId="0" fillId="0" borderId="0" xfId="0" applyNumberFormat="1"/>
    <xf numFmtId="167" fontId="6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166" fontId="8" fillId="0" borderId="0" xfId="0" applyNumberFormat="1" applyFont="1" applyAlignment="1">
      <alignment horizontal="left"/>
    </xf>
    <xf numFmtId="0" fontId="10" fillId="0" borderId="0" xfId="49" applyFont="1"/>
    <xf numFmtId="0" fontId="11" fillId="0" borderId="0" xfId="49" applyFont="1"/>
    <xf numFmtId="0" fontId="4" fillId="0" borderId="0" xfId="49"/>
    <xf numFmtId="49" fontId="9" fillId="0" borderId="0" xfId="0" applyNumberFormat="1" applyFont="1"/>
    <xf numFmtId="0" fontId="9" fillId="0" borderId="0" xfId="0" applyFont="1" applyAlignment="1">
      <alignment vertical="center" wrapText="1"/>
    </xf>
    <xf numFmtId="0" fontId="4" fillId="0" borderId="0" xfId="49" applyAlignment="1">
      <alignment vertical="center" wrapText="1"/>
    </xf>
    <xf numFmtId="167" fontId="0" fillId="0" borderId="0" xfId="0" applyNumberFormat="1" applyFill="1"/>
    <xf numFmtId="0" fontId="2" fillId="0" borderId="0" xfId="0" applyFont="1" applyFill="1"/>
    <xf numFmtId="0" fontId="0" fillId="0" borderId="0" xfId="0" applyFill="1"/>
    <xf numFmtId="1" fontId="2" fillId="0" borderId="0" xfId="0" applyNumberFormat="1" applyFont="1" applyFill="1"/>
    <xf numFmtId="1" fontId="0" fillId="0" borderId="0" xfId="0" applyNumberFormat="1" applyFill="1"/>
    <xf numFmtId="167" fontId="2" fillId="0" borderId="0" xfId="0" applyNumberFormat="1" applyFont="1" applyFill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6" fontId="8" fillId="2" borderId="0" xfId="0" applyNumberFormat="1" applyFont="1" applyFill="1" applyAlignment="1">
      <alignment horizontal="left"/>
    </xf>
    <xf numFmtId="167" fontId="0" fillId="0" borderId="0" xfId="0" applyNumberFormat="1" applyAlignment="1">
      <alignment horizontal="right"/>
    </xf>
    <xf numFmtId="0" fontId="0" fillId="3" borderId="0" xfId="0" applyFill="1"/>
    <xf numFmtId="167" fontId="0" fillId="3" borderId="0" xfId="0" applyNumberFormat="1" applyFill="1"/>
    <xf numFmtId="3" fontId="0" fillId="0" borderId="0" xfId="0" applyNumberFormat="1"/>
    <xf numFmtId="167" fontId="14" fillId="0" borderId="0" xfId="0" applyNumberFormat="1" applyFont="1"/>
    <xf numFmtId="167" fontId="2" fillId="0" borderId="0" xfId="0" applyNumberFormat="1" applyFont="1"/>
    <xf numFmtId="167" fontId="15" fillId="0" borderId="0" xfId="0" applyNumberFormat="1" applyFont="1"/>
    <xf numFmtId="0" fontId="16" fillId="0" borderId="0" xfId="0" applyFont="1"/>
    <xf numFmtId="164" fontId="0" fillId="0" borderId="0" xfId="0" applyNumberFormat="1"/>
    <xf numFmtId="166" fontId="0" fillId="0" borderId="0" xfId="0" applyNumberFormat="1" applyAlignment="1">
      <alignment horizontal="right"/>
    </xf>
    <xf numFmtId="166" fontId="9" fillId="0" borderId="0" xfId="0" applyNumberFormat="1" applyFont="1"/>
    <xf numFmtId="166" fontId="0" fillId="0" borderId="0" xfId="0" applyNumberFormat="1" applyFont="1"/>
    <xf numFmtId="167" fontId="9" fillId="0" borderId="0" xfId="0" applyNumberFormat="1" applyFont="1"/>
    <xf numFmtId="167" fontId="8" fillId="0" borderId="0" xfId="0" applyNumberFormat="1" applyFont="1"/>
    <xf numFmtId="167" fontId="16" fillId="0" borderId="0" xfId="0" applyNumberFormat="1" applyFont="1" applyFill="1"/>
    <xf numFmtId="166" fontId="8" fillId="0" borderId="0" xfId="0" applyNumberFormat="1" applyFont="1" applyFill="1" applyAlignment="1">
      <alignment horizontal="left"/>
    </xf>
    <xf numFmtId="2" fontId="0" fillId="0" borderId="0" xfId="0" applyNumberFormat="1"/>
    <xf numFmtId="1" fontId="17" fillId="0" borderId="0" xfId="0" applyNumberFormat="1" applyFont="1"/>
    <xf numFmtId="2" fontId="18" fillId="0" borderId="0" xfId="0" applyNumberFormat="1" applyFont="1" applyFill="1"/>
    <xf numFmtId="0" fontId="17" fillId="0" borderId="0" xfId="0" applyFont="1"/>
    <xf numFmtId="2" fontId="17" fillId="0" borderId="0" xfId="0" applyNumberFormat="1" applyFont="1"/>
    <xf numFmtId="2" fontId="19" fillId="4" borderId="0" xfId="0" applyNumberFormat="1" applyFont="1" applyFill="1"/>
    <xf numFmtId="0" fontId="20" fillId="0" borderId="1" xfId="0" applyFont="1" applyBorder="1" applyAlignment="1">
      <alignment wrapText="1"/>
    </xf>
    <xf numFmtId="166" fontId="20" fillId="0" borderId="0" xfId="0" applyNumberFormat="1" applyFont="1"/>
    <xf numFmtId="0" fontId="20" fillId="0" borderId="0" xfId="0" applyFont="1"/>
    <xf numFmtId="167" fontId="17" fillId="0" borderId="0" xfId="0" applyNumberFormat="1" applyFont="1"/>
    <xf numFmtId="3" fontId="17" fillId="0" borderId="1" xfId="0" applyNumberFormat="1" applyFont="1" applyBorder="1" applyAlignment="1">
      <alignment wrapText="1"/>
    </xf>
    <xf numFmtId="2" fontId="17" fillId="0" borderId="0" xfId="0" applyNumberFormat="1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2" fontId="19" fillId="4" borderId="0" xfId="0" applyNumberFormat="1" applyFont="1" applyFill="1" applyBorder="1" applyAlignment="1">
      <alignment wrapText="1"/>
    </xf>
    <xf numFmtId="167" fontId="17" fillId="0" borderId="0" xfId="0" applyNumberFormat="1" applyFont="1" applyAlignment="1">
      <alignment horizontal="right"/>
    </xf>
    <xf numFmtId="0" fontId="17" fillId="0" borderId="1" xfId="0" applyFont="1" applyBorder="1" applyAlignment="1">
      <alignment wrapText="1"/>
    </xf>
    <xf numFmtId="3" fontId="17" fillId="0" borderId="1" xfId="0" applyNumberFormat="1" applyFont="1" applyBorder="1" applyAlignment="1">
      <alignment vertical="center" wrapText="1"/>
    </xf>
    <xf numFmtId="2" fontId="17" fillId="0" borderId="1" xfId="0" applyNumberFormat="1" applyFont="1" applyBorder="1" applyAlignment="1">
      <alignment wrapText="1"/>
    </xf>
    <xf numFmtId="2" fontId="18" fillId="4" borderId="0" xfId="0" applyNumberFormat="1" applyFont="1" applyFill="1"/>
    <xf numFmtId="3" fontId="17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166" fontId="17" fillId="0" borderId="1" xfId="0" applyNumberFormat="1" applyFont="1" applyBorder="1" applyAlignment="1">
      <alignment horizontal="right" wrapText="1"/>
    </xf>
    <xf numFmtId="167" fontId="17" fillId="0" borderId="1" xfId="0" applyNumberFormat="1" applyFont="1" applyBorder="1" applyAlignment="1">
      <alignment horizontal="right" wrapText="1"/>
    </xf>
    <xf numFmtId="0" fontId="18" fillId="0" borderId="0" xfId="0" applyFont="1"/>
    <xf numFmtId="3" fontId="20" fillId="0" borderId="1" xfId="0" applyNumberFormat="1" applyFont="1" applyBorder="1" applyAlignment="1">
      <alignment horizontal="right" wrapText="1"/>
    </xf>
    <xf numFmtId="2" fontId="20" fillId="0" borderId="1" xfId="0" applyNumberFormat="1" applyFont="1" applyBorder="1" applyAlignment="1">
      <alignment horizontal="right" wrapText="1"/>
    </xf>
    <xf numFmtId="1" fontId="20" fillId="0" borderId="1" xfId="0" applyNumberFormat="1" applyFont="1" applyBorder="1" applyAlignment="1">
      <alignment horizontal="right" wrapText="1"/>
    </xf>
    <xf numFmtId="2" fontId="21" fillId="4" borderId="1" xfId="0" applyNumberFormat="1" applyFont="1" applyFill="1" applyBorder="1" applyAlignment="1">
      <alignment horizontal="right" wrapText="1"/>
    </xf>
    <xf numFmtId="166" fontId="20" fillId="0" borderId="1" xfId="0" applyNumberFormat="1" applyFont="1" applyBorder="1" applyAlignment="1">
      <alignment vertical="center" wrapText="1"/>
    </xf>
    <xf numFmtId="167" fontId="20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1" fontId="17" fillId="0" borderId="1" xfId="0" applyNumberFormat="1" applyFont="1" applyBorder="1" applyAlignment="1">
      <alignment vertical="center" wrapText="1"/>
    </xf>
    <xf numFmtId="2" fontId="19" fillId="0" borderId="1" xfId="0" applyNumberFormat="1" applyFont="1" applyFill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167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left" wrapText="1"/>
    </xf>
    <xf numFmtId="166" fontId="17" fillId="0" borderId="1" xfId="0" applyNumberFormat="1" applyFont="1" applyBorder="1" applyAlignment="1">
      <alignment wrapText="1"/>
    </xf>
    <xf numFmtId="164" fontId="17" fillId="0" borderId="1" xfId="0" applyNumberFormat="1" applyFont="1" applyBorder="1" applyAlignment="1">
      <alignment vertical="center" wrapText="1"/>
    </xf>
    <xf numFmtId="166" fontId="17" fillId="0" borderId="0" xfId="0" applyNumberFormat="1" applyFont="1"/>
    <xf numFmtId="0" fontId="20" fillId="0" borderId="0" xfId="0" applyFont="1" applyFill="1" applyBorder="1" applyAlignment="1">
      <alignment wrapText="1"/>
    </xf>
    <xf numFmtId="164" fontId="20" fillId="0" borderId="0" xfId="0" applyNumberFormat="1" applyFont="1"/>
    <xf numFmtId="2" fontId="20" fillId="0" borderId="0" xfId="0" applyNumberFormat="1" applyFont="1"/>
    <xf numFmtId="1" fontId="20" fillId="0" borderId="0" xfId="0" applyNumberFormat="1" applyFont="1"/>
    <xf numFmtId="164" fontId="21" fillId="0" borderId="0" xfId="0" applyNumberFormat="1" applyFont="1" applyFill="1"/>
    <xf numFmtId="0" fontId="17" fillId="0" borderId="0" xfId="0" applyFont="1" applyBorder="1" applyAlignment="1">
      <alignment wrapText="1"/>
    </xf>
    <xf numFmtId="165" fontId="0" fillId="0" borderId="0" xfId="95" applyNumberFormat="1" applyFont="1"/>
    <xf numFmtId="165" fontId="2" fillId="0" borderId="0" xfId="95" applyNumberFormat="1" applyFont="1"/>
    <xf numFmtId="166" fontId="2" fillId="0" borderId="0" xfId="95" applyNumberFormat="1" applyFont="1"/>
    <xf numFmtId="0" fontId="0" fillId="5" borderId="0" xfId="0" applyFill="1"/>
    <xf numFmtId="165" fontId="0" fillId="5" borderId="0" xfId="95" applyNumberFormat="1" applyFont="1" applyFill="1"/>
    <xf numFmtId="166" fontId="0" fillId="5" borderId="0" xfId="0" applyNumberFormat="1" applyFill="1"/>
    <xf numFmtId="165" fontId="0" fillId="0" borderId="0" xfId="95" applyNumberFormat="1" applyFont="1" applyFill="1"/>
    <xf numFmtId="166" fontId="0" fillId="0" borderId="0" xfId="0" applyNumberFormat="1" applyFill="1"/>
    <xf numFmtId="165" fontId="9" fillId="0" borderId="0" xfId="95" applyNumberFormat="1" applyFont="1"/>
    <xf numFmtId="0" fontId="0" fillId="0" borderId="0" xfId="0" quotePrefix="1"/>
    <xf numFmtId="0" fontId="22" fillId="0" borderId="0" xfId="0" applyFont="1"/>
    <xf numFmtId="166" fontId="1" fillId="0" borderId="0" xfId="95" applyNumberFormat="1" applyFont="1"/>
    <xf numFmtId="166" fontId="2" fillId="0" borderId="0" xfId="0" applyNumberFormat="1" applyFont="1" applyFill="1"/>
    <xf numFmtId="3" fontId="0" fillId="0" borderId="0" xfId="0" applyNumberFormat="1" applyFill="1"/>
    <xf numFmtId="3" fontId="2" fillId="0" borderId="0" xfId="0" applyNumberFormat="1" applyFont="1" applyFill="1"/>
    <xf numFmtId="3" fontId="0" fillId="0" borderId="0" xfId="0" applyNumberFormat="1" applyFont="1" applyFill="1"/>
    <xf numFmtId="166" fontId="12" fillId="0" borderId="0" xfId="0" applyNumberFormat="1" applyFont="1"/>
    <xf numFmtId="166" fontId="13" fillId="0" borderId="0" xfId="0" applyNumberFormat="1" applyFont="1"/>
    <xf numFmtId="166" fontId="22" fillId="0" borderId="0" xfId="0" applyNumberFormat="1" applyFont="1"/>
    <xf numFmtId="167" fontId="7" fillId="0" borderId="0" xfId="0" applyNumberFormat="1" applyFont="1"/>
    <xf numFmtId="0" fontId="2" fillId="5" borderId="0" xfId="0" applyFont="1" applyFill="1"/>
    <xf numFmtId="167" fontId="0" fillId="5" borderId="0" xfId="0" applyNumberFormat="1" applyFill="1"/>
    <xf numFmtId="167" fontId="2" fillId="5" borderId="0" xfId="0" applyNumberFormat="1" applyFont="1" applyFill="1"/>
    <xf numFmtId="167" fontId="16" fillId="5" borderId="0" xfId="0" applyNumberFormat="1" applyFont="1" applyFill="1"/>
    <xf numFmtId="3" fontId="2" fillId="0" borderId="0" xfId="0" applyNumberFormat="1" applyFont="1"/>
    <xf numFmtId="0" fontId="23" fillId="0" borderId="0" xfId="0" applyFont="1"/>
    <xf numFmtId="167" fontId="8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9" fillId="0" borderId="0" xfId="0" applyNumberFormat="1" applyFont="1" applyAlignment="1">
      <alignment horizontal="left"/>
    </xf>
    <xf numFmtId="0" fontId="24" fillId="0" borderId="0" xfId="0" applyFont="1" applyAlignment="1"/>
    <xf numFmtId="0" fontId="24" fillId="0" borderId="0" xfId="0" applyFont="1" applyFill="1" applyAlignment="1"/>
    <xf numFmtId="166" fontId="25" fillId="0" borderId="0" xfId="0" applyNumberFormat="1" applyFont="1" applyFill="1" applyBorder="1" applyAlignment="1" applyProtection="1"/>
    <xf numFmtId="0" fontId="9" fillId="0" borderId="0" xfId="0" applyFont="1" applyAlignment="1">
      <alignment vertical="center" wrapText="1"/>
    </xf>
    <xf numFmtId="166" fontId="26" fillId="0" borderId="0" xfId="0" applyNumberFormat="1" applyFont="1"/>
    <xf numFmtId="166" fontId="9" fillId="5" borderId="0" xfId="0" applyNumberFormat="1" applyFont="1" applyFill="1"/>
    <xf numFmtId="166" fontId="9" fillId="0" borderId="0" xfId="0" applyNumberFormat="1" applyFont="1" applyFill="1"/>
    <xf numFmtId="166" fontId="8" fillId="0" borderId="0" xfId="0" applyNumberFormat="1" applyFont="1"/>
    <xf numFmtId="166" fontId="8" fillId="0" borderId="0" xfId="95" applyNumberFormat="1" applyFont="1"/>
  </cellXfs>
  <cellStyles count="130">
    <cellStyle name="Currency" xfId="9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Normal" xfId="0" builtinId="0"/>
    <cellStyle name="Normal 2" xfId="5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oe@care2team.com" TargetMode="External"/><Relationship Id="rId4" Type="http://schemas.openxmlformats.org/officeDocument/2006/relationships/hyperlink" Target="mailto:joellen@themediaconsortium.com" TargetMode="External"/><Relationship Id="rId5" Type="http://schemas.openxmlformats.org/officeDocument/2006/relationships/hyperlink" Target="mailto:Alexlubben@gmail.com" TargetMode="External"/><Relationship Id="rId6" Type="http://schemas.openxmlformats.org/officeDocument/2006/relationships/hyperlink" Target="mailto:carl@washingtonmonthly.com" TargetMode="External"/><Relationship Id="rId7" Type="http://schemas.openxmlformats.org/officeDocument/2006/relationships/hyperlink" Target="mailto:alexishalbert@hcn.org" TargetMode="External"/><Relationship Id="rId8" Type="http://schemas.openxmlformats.org/officeDocument/2006/relationships/hyperlink" Target="mailto:tshackelford@aan.org" TargetMode="External"/><Relationship Id="rId9" Type="http://schemas.openxmlformats.org/officeDocument/2006/relationships/hyperlink" Target="mailto:roz@nationinstitute.org" TargetMode="External"/><Relationship Id="rId10" Type="http://schemas.openxmlformats.org/officeDocument/2006/relationships/hyperlink" Target="mailto:rarakaki@yesmagazine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miles@inthesetim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I74"/>
  <sheetViews>
    <sheetView tabSelected="1" workbookViewId="0">
      <selection activeCell="K35" sqref="K35"/>
    </sheetView>
  </sheetViews>
  <sheetFormatPr baseColWidth="10" defaultColWidth="11" defaultRowHeight="15" x14ac:dyDescent="0"/>
  <cols>
    <col min="3" max="3" width="23" bestFit="1" customWidth="1"/>
    <col min="4" max="4" width="23" style="2" customWidth="1"/>
    <col min="5" max="5" width="16.83203125" style="91" customWidth="1"/>
    <col min="6" max="6" width="15.6640625" style="2" customWidth="1"/>
    <col min="7" max="7" width="13.83203125" style="39" bestFit="1" customWidth="1"/>
  </cols>
  <sheetData>
    <row r="2" spans="1:9">
      <c r="A2" s="4" t="s">
        <v>9</v>
      </c>
      <c r="D2" s="2" t="s">
        <v>292</v>
      </c>
      <c r="E2" s="91" t="s">
        <v>321</v>
      </c>
      <c r="F2" s="2" t="s">
        <v>320</v>
      </c>
      <c r="G2" s="39" t="s">
        <v>236</v>
      </c>
      <c r="I2" t="s">
        <v>8</v>
      </c>
    </row>
    <row r="4" spans="1:9">
      <c r="B4" t="s">
        <v>0</v>
      </c>
      <c r="D4" s="2">
        <f>F74</f>
        <v>84823</v>
      </c>
      <c r="E4" s="102">
        <f>SUM(F74)</f>
        <v>84823</v>
      </c>
      <c r="F4" s="1">
        <v>170054.05</v>
      </c>
      <c r="G4" s="124">
        <v>170054.05</v>
      </c>
    </row>
    <row r="5" spans="1:9" s="94" customFormat="1">
      <c r="D5" s="96"/>
      <c r="E5" s="95"/>
      <c r="F5" s="96"/>
      <c r="G5" s="125"/>
    </row>
    <row r="6" spans="1:9" s="19" customFormat="1">
      <c r="D6" s="98"/>
      <c r="E6" s="97"/>
      <c r="F6" s="98"/>
      <c r="G6" s="126"/>
    </row>
    <row r="7" spans="1:9">
      <c r="A7" s="4" t="s">
        <v>10</v>
      </c>
      <c r="B7" t="s">
        <v>1</v>
      </c>
      <c r="D7" s="2">
        <v>116977</v>
      </c>
      <c r="E7" s="91">
        <v>116977</v>
      </c>
      <c r="F7" s="2">
        <v>114813</v>
      </c>
      <c r="G7" s="39">
        <v>114813</v>
      </c>
    </row>
    <row r="9" spans="1:9">
      <c r="B9" t="s">
        <v>2</v>
      </c>
      <c r="D9" s="2">
        <v>29976</v>
      </c>
      <c r="E9" s="91">
        <v>27845</v>
      </c>
      <c r="F9" s="2">
        <v>55240</v>
      </c>
      <c r="G9" s="39">
        <v>55240</v>
      </c>
    </row>
    <row r="11" spans="1:9">
      <c r="B11" t="s">
        <v>6</v>
      </c>
      <c r="F11" s="2">
        <v>10000</v>
      </c>
      <c r="G11" s="39">
        <v>10000</v>
      </c>
    </row>
    <row r="13" spans="1:9">
      <c r="B13" t="s">
        <v>7</v>
      </c>
      <c r="D13" s="2">
        <v>83600</v>
      </c>
      <c r="E13" s="91">
        <v>93000</v>
      </c>
      <c r="F13" s="2">
        <v>25000</v>
      </c>
      <c r="G13" s="39">
        <v>78000</v>
      </c>
    </row>
    <row r="15" spans="1:9">
      <c r="A15" s="4" t="s">
        <v>12</v>
      </c>
    </row>
    <row r="16" spans="1:9">
      <c r="B16">
        <v>1714108</v>
      </c>
      <c r="C16" t="s">
        <v>19</v>
      </c>
      <c r="D16" s="39">
        <v>15500</v>
      </c>
      <c r="E16" s="99">
        <v>20000</v>
      </c>
      <c r="F16" s="39">
        <v>22400</v>
      </c>
      <c r="G16" s="39">
        <v>20000</v>
      </c>
    </row>
    <row r="17" spans="1:9">
      <c r="B17">
        <v>1714107</v>
      </c>
      <c r="C17" t="s">
        <v>361</v>
      </c>
      <c r="D17" s="2">
        <v>7500</v>
      </c>
      <c r="E17" s="99">
        <v>50000</v>
      </c>
      <c r="F17" s="2">
        <v>0</v>
      </c>
      <c r="G17" s="39">
        <v>4000</v>
      </c>
      <c r="I17" t="s">
        <v>364</v>
      </c>
    </row>
    <row r="18" spans="1:9">
      <c r="B18">
        <v>1714106</v>
      </c>
      <c r="C18" t="s">
        <v>15</v>
      </c>
      <c r="D18" s="2">
        <v>7770</v>
      </c>
      <c r="E18" s="91">
        <v>7500</v>
      </c>
      <c r="F18" s="38">
        <v>0</v>
      </c>
      <c r="G18" s="39">
        <v>7500</v>
      </c>
    </row>
    <row r="19" spans="1:9">
      <c r="C19" t="s">
        <v>16</v>
      </c>
      <c r="D19" s="2">
        <v>2022</v>
      </c>
      <c r="E19" s="91">
        <v>1500</v>
      </c>
      <c r="F19" s="2">
        <v>150</v>
      </c>
      <c r="G19" s="39">
        <v>1500</v>
      </c>
    </row>
    <row r="20" spans="1:9">
      <c r="B20">
        <v>1714105</v>
      </c>
      <c r="D20" s="122">
        <v>12409.37</v>
      </c>
      <c r="I20" t="s">
        <v>363</v>
      </c>
    </row>
    <row r="21" spans="1:9">
      <c r="C21" t="s">
        <v>17</v>
      </c>
      <c r="E21" s="91">
        <v>4800</v>
      </c>
      <c r="F21" s="2">
        <v>6200</v>
      </c>
      <c r="G21" s="39">
        <v>5000</v>
      </c>
    </row>
    <row r="22" spans="1:9">
      <c r="C22" t="s">
        <v>18</v>
      </c>
      <c r="E22" s="91">
        <v>4767</v>
      </c>
      <c r="F22" s="2">
        <v>3380</v>
      </c>
      <c r="G22" s="39">
        <v>4160</v>
      </c>
      <c r="I22" t="s">
        <v>360</v>
      </c>
    </row>
    <row r="23" spans="1:9">
      <c r="C23" t="s">
        <v>293</v>
      </c>
      <c r="G23" s="39">
        <v>3500</v>
      </c>
      <c r="I23" t="s">
        <v>294</v>
      </c>
    </row>
    <row r="24" spans="1:9">
      <c r="D24" s="3">
        <f>SUM(D16:D22)</f>
        <v>45201.37</v>
      </c>
      <c r="E24" s="92">
        <f>SUM(E16:E22)</f>
        <v>88567</v>
      </c>
      <c r="F24" s="3">
        <f>SUM(F16:F23)</f>
        <v>32130</v>
      </c>
      <c r="G24" s="127">
        <f>SUBTOTAL(9,G16:G23)</f>
        <v>45660</v>
      </c>
      <c r="I24" s="116"/>
    </row>
    <row r="26" spans="1:9">
      <c r="A26" s="4" t="s">
        <v>21</v>
      </c>
      <c r="D26" s="93">
        <f>SUM(D7+D9+D13+D24)</f>
        <v>275754.37</v>
      </c>
      <c r="E26" s="93">
        <f>SUM(E7+E9+E13+E24)</f>
        <v>326389</v>
      </c>
      <c r="F26" s="93">
        <f>SUM(F7+F9+F13+F11+F24)</f>
        <v>237183</v>
      </c>
      <c r="G26" s="128">
        <f>SUM(G7+G9+G13+G11+G24)</f>
        <v>303713</v>
      </c>
    </row>
    <row r="29" spans="1:9">
      <c r="A29" s="4" t="s">
        <v>22</v>
      </c>
    </row>
    <row r="31" spans="1:9">
      <c r="A31" s="4" t="s">
        <v>23</v>
      </c>
    </row>
    <row r="32" spans="1:9">
      <c r="B32" s="4" t="s">
        <v>25</v>
      </c>
    </row>
    <row r="33" spans="2:7">
      <c r="B33">
        <v>1715702</v>
      </c>
      <c r="C33" t="s">
        <v>26</v>
      </c>
      <c r="D33" s="39">
        <v>79489.03</v>
      </c>
      <c r="E33" s="91">
        <v>50000</v>
      </c>
      <c r="F33" s="2">
        <v>15000</v>
      </c>
      <c r="G33" s="39">
        <v>50000</v>
      </c>
    </row>
    <row r="34" spans="2:7">
      <c r="B34">
        <v>1715750</v>
      </c>
      <c r="C34" t="s">
        <v>50</v>
      </c>
      <c r="D34" s="39">
        <v>38815.699999999997</v>
      </c>
      <c r="E34" s="91">
        <v>24700</v>
      </c>
      <c r="F34" s="2">
        <v>8280</v>
      </c>
      <c r="G34" s="39">
        <v>7200</v>
      </c>
    </row>
    <row r="35" spans="2:7">
      <c r="B35">
        <v>1715751</v>
      </c>
      <c r="C35" t="s">
        <v>35</v>
      </c>
      <c r="D35" s="2">
        <v>13595.98</v>
      </c>
      <c r="E35" s="91">
        <v>5000</v>
      </c>
      <c r="G35" s="39">
        <v>135</v>
      </c>
    </row>
    <row r="36" spans="2:7">
      <c r="D36" s="3">
        <f>SUM(D33:D35)</f>
        <v>131900.71</v>
      </c>
      <c r="E36" s="92">
        <f>SUM(E33:E34)</f>
        <v>74700</v>
      </c>
      <c r="F36" s="3">
        <f>SUM(F33:F35)</f>
        <v>23280</v>
      </c>
      <c r="G36" s="127">
        <f>SUBTOTAL(9,G33:G35)</f>
        <v>57335</v>
      </c>
    </row>
    <row r="38" spans="2:7">
      <c r="B38" s="4" t="s">
        <v>27</v>
      </c>
    </row>
    <row r="39" spans="2:7">
      <c r="B39">
        <v>1715701</v>
      </c>
      <c r="C39" t="s">
        <v>24</v>
      </c>
      <c r="D39" s="39">
        <f>0.07*D13</f>
        <v>5852.0000000000009</v>
      </c>
      <c r="E39" s="39">
        <f>0.07*E13</f>
        <v>6510.0000000000009</v>
      </c>
      <c r="F39" s="39">
        <f>0.07*(F11+F13)</f>
        <v>2450.0000000000005</v>
      </c>
      <c r="G39" s="39">
        <f>0.07*(G11+G13)</f>
        <v>6160.0000000000009</v>
      </c>
    </row>
    <row r="40" spans="2:7">
      <c r="B40">
        <v>1715708</v>
      </c>
      <c r="C40" t="s">
        <v>32</v>
      </c>
      <c r="D40" s="2">
        <v>0</v>
      </c>
      <c r="E40" s="91">
        <v>0</v>
      </c>
      <c r="F40" s="2">
        <v>0</v>
      </c>
      <c r="G40" s="39">
        <v>0</v>
      </c>
    </row>
    <row r="41" spans="2:7">
      <c r="B41">
        <v>1715709</v>
      </c>
      <c r="C41" t="s">
        <v>33</v>
      </c>
      <c r="D41" s="39">
        <v>5229.7299999999996</v>
      </c>
      <c r="E41" s="91">
        <v>500</v>
      </c>
      <c r="F41" s="2">
        <v>792.34</v>
      </c>
      <c r="G41" s="39">
        <v>600</v>
      </c>
    </row>
    <row r="42" spans="2:7">
      <c r="B42">
        <v>1715712</v>
      </c>
      <c r="C42" t="s">
        <v>28</v>
      </c>
      <c r="D42" s="2">
        <v>0</v>
      </c>
      <c r="E42" s="91">
        <v>0</v>
      </c>
      <c r="F42" s="2">
        <v>0</v>
      </c>
      <c r="G42" s="39">
        <v>0</v>
      </c>
    </row>
    <row r="43" spans="2:7">
      <c r="B43">
        <v>1715767</v>
      </c>
      <c r="C43" t="s">
        <v>43</v>
      </c>
      <c r="D43" s="2">
        <v>1304.98</v>
      </c>
      <c r="E43" s="91">
        <v>850</v>
      </c>
      <c r="F43" s="2">
        <v>94</v>
      </c>
      <c r="G43" s="39">
        <v>100</v>
      </c>
    </row>
    <row r="44" spans="2:7">
      <c r="B44">
        <v>1715769</v>
      </c>
      <c r="C44" t="s">
        <v>29</v>
      </c>
      <c r="D44" s="2">
        <v>86.8</v>
      </c>
      <c r="E44" s="91">
        <v>55</v>
      </c>
      <c r="F44" s="2">
        <v>55</v>
      </c>
      <c r="G44" s="39">
        <v>200</v>
      </c>
    </row>
    <row r="45" spans="2:7">
      <c r="B45">
        <v>1715772</v>
      </c>
      <c r="C45" t="s">
        <v>44</v>
      </c>
      <c r="D45" s="2">
        <v>1662.07</v>
      </c>
      <c r="E45" s="91">
        <v>100</v>
      </c>
      <c r="F45" s="2">
        <v>718.4</v>
      </c>
      <c r="G45" s="39">
        <v>0</v>
      </c>
    </row>
    <row r="46" spans="2:7">
      <c r="D46" s="93">
        <f>SUM(D39:D45)</f>
        <v>14135.579999999998</v>
      </c>
      <c r="E46" s="93">
        <f t="shared" ref="E46:G46" si="0">SUM(E39:E45)</f>
        <v>8015.0000000000009</v>
      </c>
      <c r="F46" s="93">
        <f t="shared" si="0"/>
        <v>4109.7400000000007</v>
      </c>
      <c r="G46" s="128">
        <f t="shared" si="0"/>
        <v>7060.0000000000009</v>
      </c>
    </row>
    <row r="48" spans="2:7">
      <c r="B48" s="4" t="s">
        <v>30</v>
      </c>
    </row>
    <row r="49" spans="2:7">
      <c r="B49">
        <v>1715711</v>
      </c>
      <c r="C49" t="s">
        <v>34</v>
      </c>
      <c r="E49" s="91">
        <v>60000</v>
      </c>
      <c r="F49" s="2">
        <v>2500</v>
      </c>
      <c r="G49" s="39">
        <v>2500</v>
      </c>
    </row>
    <row r="50" spans="2:7">
      <c r="B50">
        <v>1715755</v>
      </c>
      <c r="C50" t="s">
        <v>36</v>
      </c>
      <c r="E50" s="91">
        <v>0</v>
      </c>
      <c r="F50" s="2">
        <v>0</v>
      </c>
      <c r="G50" s="39">
        <v>2500</v>
      </c>
    </row>
    <row r="51" spans="2:7">
      <c r="B51">
        <v>1715706</v>
      </c>
      <c r="C51" t="s">
        <v>31</v>
      </c>
      <c r="D51" s="2">
        <v>203.53</v>
      </c>
      <c r="E51" s="91">
        <v>0</v>
      </c>
      <c r="F51" s="2">
        <v>0</v>
      </c>
      <c r="G51" s="39">
        <v>0</v>
      </c>
    </row>
    <row r="52" spans="2:7">
      <c r="B52">
        <v>1715760</v>
      </c>
      <c r="C52" t="s">
        <v>37</v>
      </c>
      <c r="D52" s="2">
        <v>6753</v>
      </c>
      <c r="E52" s="91">
        <v>1000</v>
      </c>
      <c r="F52" s="2">
        <v>1249.44</v>
      </c>
      <c r="G52" s="39">
        <v>500</v>
      </c>
    </row>
    <row r="53" spans="2:7">
      <c r="B53">
        <v>1715763</v>
      </c>
      <c r="C53" t="s">
        <v>38</v>
      </c>
      <c r="D53" s="2">
        <v>3703.15</v>
      </c>
      <c r="E53" s="91">
        <v>0</v>
      </c>
      <c r="F53" s="2">
        <v>0</v>
      </c>
      <c r="G53" s="39">
        <v>0</v>
      </c>
    </row>
    <row r="54" spans="2:7">
      <c r="B54">
        <v>1715766</v>
      </c>
      <c r="C54" t="s">
        <v>39</v>
      </c>
      <c r="D54" s="2">
        <v>15151</v>
      </c>
      <c r="E54" s="91">
        <v>10084</v>
      </c>
      <c r="F54" s="2">
        <v>1161.44</v>
      </c>
      <c r="G54" s="39">
        <v>750</v>
      </c>
    </row>
    <row r="55" spans="2:7">
      <c r="B55">
        <v>1715773</v>
      </c>
      <c r="C55" t="s">
        <v>40</v>
      </c>
      <c r="D55" s="39">
        <v>15312.2</v>
      </c>
      <c r="E55" s="91">
        <v>9750</v>
      </c>
      <c r="F55" s="2">
        <v>7096.28</v>
      </c>
      <c r="G55" s="39">
        <v>7000</v>
      </c>
    </row>
    <row r="56" spans="2:7">
      <c r="B56">
        <v>1715774</v>
      </c>
      <c r="C56" t="s">
        <v>41</v>
      </c>
      <c r="D56" s="2">
        <v>1272.8</v>
      </c>
      <c r="E56" s="91">
        <v>500</v>
      </c>
      <c r="F56" s="2">
        <v>695</v>
      </c>
      <c r="G56" s="39">
        <v>500</v>
      </c>
    </row>
    <row r="57" spans="2:7">
      <c r="B57">
        <v>1715714</v>
      </c>
      <c r="C57" t="s">
        <v>362</v>
      </c>
      <c r="D57" s="2">
        <v>16824.099999999999</v>
      </c>
      <c r="E57" s="91">
        <v>20000</v>
      </c>
      <c r="F57" s="2">
        <v>850</v>
      </c>
    </row>
    <row r="58" spans="2:7">
      <c r="B58">
        <v>1715779</v>
      </c>
      <c r="C58" t="s">
        <v>42</v>
      </c>
      <c r="D58" s="2">
        <v>7503.96</v>
      </c>
      <c r="E58" s="91">
        <v>6600</v>
      </c>
      <c r="F58" s="2">
        <v>1122</v>
      </c>
      <c r="G58" s="39">
        <v>5000</v>
      </c>
    </row>
    <row r="59" spans="2:7">
      <c r="D59" s="92">
        <f>SUM(D49:D58)</f>
        <v>66723.740000000005</v>
      </c>
      <c r="E59" s="92">
        <f>SUM(E49:E58)</f>
        <v>107934</v>
      </c>
      <c r="F59" s="3">
        <f>SUM(F49:F58)</f>
        <v>14674.16</v>
      </c>
      <c r="G59" s="127">
        <f>SUBTOTAL(9,G49:G58)</f>
        <v>18750</v>
      </c>
    </row>
    <row r="62" spans="2:7">
      <c r="D62" s="3">
        <f>SUM(D36+D46+D59)</f>
        <v>212760.02999999997</v>
      </c>
      <c r="E62" s="3">
        <f t="shared" ref="E62:G62" si="1">SUM(E36+E46+E59)</f>
        <v>190649</v>
      </c>
      <c r="F62" s="3">
        <f t="shared" si="1"/>
        <v>42063.9</v>
      </c>
      <c r="G62" s="127">
        <f t="shared" si="1"/>
        <v>83145</v>
      </c>
    </row>
    <row r="64" spans="2:7">
      <c r="G64" s="127"/>
    </row>
    <row r="68" spans="1:9">
      <c r="C68" t="s">
        <v>48</v>
      </c>
      <c r="G68" s="39">
        <v>11000</v>
      </c>
    </row>
    <row r="69" spans="1:9">
      <c r="C69" t="s">
        <v>65</v>
      </c>
      <c r="D69" s="2">
        <v>50000</v>
      </c>
      <c r="E69" s="91">
        <v>50000</v>
      </c>
      <c r="F69" s="2">
        <v>25000</v>
      </c>
      <c r="G69" s="39">
        <v>25000</v>
      </c>
      <c r="I69" t="s">
        <v>259</v>
      </c>
    </row>
    <row r="71" spans="1:9">
      <c r="A71" t="s">
        <v>49</v>
      </c>
      <c r="B71" t="s">
        <v>258</v>
      </c>
      <c r="D71" s="2">
        <f>(D26-D62)-D69</f>
        <v>12994.340000000026</v>
      </c>
      <c r="E71" s="2">
        <f>(E26-E62)-E69</f>
        <v>85740</v>
      </c>
      <c r="F71" s="2">
        <f>(F26-F62)-F69</f>
        <v>170119.1</v>
      </c>
      <c r="G71" s="39">
        <f>(G26-G62)-G69</f>
        <v>195568</v>
      </c>
      <c r="I71" t="s">
        <v>260</v>
      </c>
    </row>
    <row r="74" spans="1:9">
      <c r="F74" s="2">
        <v>84823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118"/>
  <sheetViews>
    <sheetView workbookViewId="0">
      <selection activeCell="I27" sqref="I27"/>
    </sheetView>
  </sheetViews>
  <sheetFormatPr baseColWidth="10" defaultRowHeight="15" x14ac:dyDescent="0"/>
  <cols>
    <col min="1" max="1" width="31" bestFit="1" customWidth="1"/>
    <col min="2" max="2" width="10.6640625" style="2" customWidth="1"/>
    <col min="3" max="3" width="10.33203125" style="2" bestFit="1" customWidth="1"/>
  </cols>
  <sheetData>
    <row r="1" spans="1:11">
      <c r="A1" t="s">
        <v>261</v>
      </c>
      <c r="B1" s="2" t="s">
        <v>14</v>
      </c>
      <c r="C1" s="2" t="s">
        <v>13</v>
      </c>
      <c r="E1" t="s">
        <v>13</v>
      </c>
      <c r="F1" t="s">
        <v>14</v>
      </c>
    </row>
    <row r="4" spans="1:11">
      <c r="A4" s="18" t="s">
        <v>148</v>
      </c>
      <c r="B4" s="103"/>
      <c r="C4" s="32"/>
    </row>
    <row r="5" spans="1:11">
      <c r="A5" s="19" t="s">
        <v>296</v>
      </c>
      <c r="B5" s="104">
        <v>31</v>
      </c>
      <c r="C5" s="32">
        <v>30</v>
      </c>
    </row>
    <row r="6" spans="1:11">
      <c r="A6" s="19" t="s">
        <v>297</v>
      </c>
      <c r="B6" s="104">
        <v>21</v>
      </c>
      <c r="C6" s="32"/>
    </row>
    <row r="7" spans="1:11">
      <c r="A7" s="19" t="s">
        <v>298</v>
      </c>
      <c r="B7" s="104">
        <v>3</v>
      </c>
      <c r="C7" s="32"/>
    </row>
    <row r="8" spans="1:11">
      <c r="A8" s="21" t="s">
        <v>299</v>
      </c>
      <c r="B8" s="104">
        <v>2</v>
      </c>
      <c r="C8" s="32"/>
    </row>
    <row r="9" spans="1:11">
      <c r="A9" s="19" t="s">
        <v>149</v>
      </c>
      <c r="B9" s="104">
        <v>0</v>
      </c>
      <c r="C9" s="32">
        <v>5</v>
      </c>
      <c r="D9" s="100"/>
    </row>
    <row r="10" spans="1:11">
      <c r="A10" s="19" t="s">
        <v>150</v>
      </c>
      <c r="B10" s="104">
        <v>10</v>
      </c>
      <c r="C10" s="32">
        <v>10</v>
      </c>
    </row>
    <row r="11" spans="1:11">
      <c r="A11" s="20" t="s">
        <v>151</v>
      </c>
      <c r="B11" s="105"/>
      <c r="C11" s="32"/>
    </row>
    <row r="12" spans="1:11">
      <c r="A12" s="19" t="s">
        <v>262</v>
      </c>
      <c r="B12" s="104">
        <v>50</v>
      </c>
      <c r="C12" s="32">
        <v>50</v>
      </c>
      <c r="D12" s="100" t="s">
        <v>263</v>
      </c>
      <c r="E12">
        <f>C12*125</f>
        <v>6250</v>
      </c>
      <c r="K12">
        <f>39*2+14*2</f>
        <v>106</v>
      </c>
    </row>
    <row r="13" spans="1:11">
      <c r="A13" s="19" t="s">
        <v>264</v>
      </c>
      <c r="B13" s="104">
        <v>23</v>
      </c>
      <c r="C13" s="32">
        <v>30</v>
      </c>
      <c r="D13" s="100" t="s">
        <v>265</v>
      </c>
      <c r="E13">
        <f>C13*75</f>
        <v>2250</v>
      </c>
    </row>
    <row r="14" spans="1:11">
      <c r="A14" s="21" t="s">
        <v>152</v>
      </c>
      <c r="B14" s="104">
        <v>6</v>
      </c>
      <c r="C14" s="32">
        <v>10</v>
      </c>
      <c r="D14" s="100" t="s">
        <v>266</v>
      </c>
      <c r="E14">
        <f>C14*250</f>
        <v>2500</v>
      </c>
    </row>
    <row r="15" spans="1:11">
      <c r="A15" s="21" t="s">
        <v>267</v>
      </c>
      <c r="B15" s="104"/>
      <c r="C15" s="32">
        <v>15</v>
      </c>
      <c r="D15" s="100" t="s">
        <v>263</v>
      </c>
      <c r="E15">
        <v>1250</v>
      </c>
    </row>
    <row r="16" spans="1:11">
      <c r="A16" s="21" t="s">
        <v>299</v>
      </c>
      <c r="B16" s="104">
        <v>4</v>
      </c>
      <c r="C16" s="32"/>
      <c r="D16" s="100" t="s">
        <v>300</v>
      </c>
    </row>
    <row r="17" spans="1:8">
      <c r="A17" s="21" t="s">
        <v>301</v>
      </c>
      <c r="B17" s="104">
        <v>3</v>
      </c>
      <c r="C17" s="32"/>
      <c r="D17" s="100" t="s">
        <v>302</v>
      </c>
    </row>
    <row r="18" spans="1:8">
      <c r="A18" s="21"/>
      <c r="B18" s="104"/>
      <c r="C18" s="32"/>
      <c r="D18" s="100"/>
    </row>
    <row r="19" spans="1:8">
      <c r="A19" s="18" t="s">
        <v>153</v>
      </c>
      <c r="B19" s="106">
        <f>SUM(B5:B17)</f>
        <v>153</v>
      </c>
      <c r="C19" s="32">
        <f>SUM(C5:C13)</f>
        <v>125</v>
      </c>
      <c r="E19">
        <f>SUM(E12:E15)</f>
        <v>12250</v>
      </c>
      <c r="F19">
        <f>SUM(B26:B27)</f>
        <v>10000</v>
      </c>
    </row>
    <row r="21" spans="1:8">
      <c r="A21" s="23" t="s">
        <v>154</v>
      </c>
      <c r="B21" s="107"/>
    </row>
    <row r="23" spans="1:8">
      <c r="A23" t="s">
        <v>156</v>
      </c>
      <c r="B23" s="2">
        <v>50000</v>
      </c>
      <c r="C23" s="39">
        <v>50000</v>
      </c>
    </row>
    <row r="24" spans="1:8">
      <c r="B24" s="2">
        <v>7500</v>
      </c>
      <c r="C24" s="39"/>
    </row>
    <row r="25" spans="1:8">
      <c r="A25" t="s">
        <v>157</v>
      </c>
      <c r="B25" s="2">
        <v>0</v>
      </c>
      <c r="C25" s="39">
        <v>2500</v>
      </c>
    </row>
    <row r="26" spans="1:8">
      <c r="A26" t="s">
        <v>158</v>
      </c>
      <c r="B26" s="2">
        <v>2025</v>
      </c>
      <c r="C26" s="39">
        <f>E14+E15</f>
        <v>3750</v>
      </c>
    </row>
    <row r="27" spans="1:8">
      <c r="A27" t="s">
        <v>159</v>
      </c>
      <c r="B27" s="2">
        <v>7975</v>
      </c>
      <c r="C27" s="39">
        <f>E12+E13</f>
        <v>8500</v>
      </c>
      <c r="H27">
        <v>73</v>
      </c>
    </row>
    <row r="28" spans="1:8">
      <c r="A28" t="s">
        <v>160</v>
      </c>
    </row>
    <row r="29" spans="1:8">
      <c r="A29" t="s">
        <v>161</v>
      </c>
    </row>
    <row r="30" spans="1:8">
      <c r="A30" s="23" t="s">
        <v>53</v>
      </c>
      <c r="B30" s="2">
        <f>SUM(B23:B29)</f>
        <v>67500</v>
      </c>
      <c r="C30" s="2">
        <f>SUM(C23:C29)</f>
        <v>64750</v>
      </c>
    </row>
    <row r="32" spans="1:8">
      <c r="A32" s="23" t="s">
        <v>162</v>
      </c>
      <c r="B32" s="107"/>
    </row>
    <row r="33" spans="1:3">
      <c r="A33" s="23"/>
      <c r="B33" s="107"/>
    </row>
    <row r="34" spans="1:3">
      <c r="A34" s="24" t="s">
        <v>25</v>
      </c>
      <c r="B34" s="108"/>
    </row>
    <row r="35" spans="1:3">
      <c r="A35" s="101" t="s">
        <v>303</v>
      </c>
      <c r="B35" s="109">
        <v>4275</v>
      </c>
      <c r="C35" s="2">
        <v>4275</v>
      </c>
    </row>
    <row r="36" spans="1:3">
      <c r="A36" s="101" t="s">
        <v>268</v>
      </c>
      <c r="B36" s="109">
        <v>0</v>
      </c>
      <c r="C36" s="2">
        <v>0</v>
      </c>
    </row>
    <row r="37" spans="1:3">
      <c r="A37" s="24" t="s">
        <v>164</v>
      </c>
      <c r="B37" s="3">
        <f>SUM(B35:B36)</f>
        <v>4275</v>
      </c>
      <c r="C37" s="3">
        <f>SUM(C35:C36)</f>
        <v>4275</v>
      </c>
    </row>
    <row r="38" spans="1:3">
      <c r="A38" s="23"/>
      <c r="B38" s="107"/>
    </row>
    <row r="39" spans="1:3">
      <c r="A39" s="24" t="s">
        <v>269</v>
      </c>
      <c r="B39" s="108"/>
    </row>
    <row r="40" spans="1:3">
      <c r="A40" s="101" t="s">
        <v>270</v>
      </c>
      <c r="B40" s="2">
        <v>13300</v>
      </c>
      <c r="C40" s="2">
        <v>12500</v>
      </c>
    </row>
    <row r="41" spans="1:3">
      <c r="A41" s="101" t="s">
        <v>271</v>
      </c>
      <c r="B41" s="109">
        <v>1403.78</v>
      </c>
      <c r="C41" s="2">
        <v>2100</v>
      </c>
    </row>
    <row r="42" spans="1:3">
      <c r="A42" s="24" t="s">
        <v>164</v>
      </c>
      <c r="B42" s="3">
        <f>SUM(B40:B41)</f>
        <v>14703.78</v>
      </c>
      <c r="C42" s="3">
        <f>SUM(C40:C41)</f>
        <v>14600</v>
      </c>
    </row>
    <row r="44" spans="1:3">
      <c r="A44" s="24" t="s">
        <v>163</v>
      </c>
      <c r="B44" s="108"/>
    </row>
    <row r="45" spans="1:3">
      <c r="A45" s="101" t="s">
        <v>272</v>
      </c>
      <c r="B45" s="109">
        <v>1998</v>
      </c>
      <c r="C45" s="2">
        <v>1296</v>
      </c>
    </row>
    <row r="46" spans="1:3">
      <c r="A46" s="25" t="s">
        <v>273</v>
      </c>
      <c r="B46" s="40">
        <v>0</v>
      </c>
      <c r="C46" s="2">
        <v>0</v>
      </c>
    </row>
    <row r="47" spans="1:3">
      <c r="A47" s="25" t="s">
        <v>274</v>
      </c>
      <c r="B47" s="40">
        <v>2403</v>
      </c>
      <c r="C47" s="2">
        <v>2403</v>
      </c>
    </row>
    <row r="48" spans="1:3">
      <c r="A48" s="25" t="s">
        <v>275</v>
      </c>
      <c r="B48" s="40">
        <v>300</v>
      </c>
      <c r="C48" s="2">
        <v>0</v>
      </c>
    </row>
    <row r="49" spans="1:5">
      <c r="A49" s="25" t="s">
        <v>276</v>
      </c>
      <c r="B49" s="40">
        <v>553.5</v>
      </c>
      <c r="C49" s="2">
        <v>2403</v>
      </c>
    </row>
    <row r="50" spans="1:5">
      <c r="A50" s="25" t="s">
        <v>304</v>
      </c>
      <c r="B50" s="40">
        <v>0</v>
      </c>
      <c r="C50" s="2">
        <v>0</v>
      </c>
    </row>
    <row r="51" spans="1:5">
      <c r="A51" s="25" t="s">
        <v>277</v>
      </c>
      <c r="B51" s="40">
        <v>1771.2</v>
      </c>
      <c r="C51" s="2">
        <v>1296</v>
      </c>
    </row>
    <row r="52" spans="1:5">
      <c r="A52" s="24" t="s">
        <v>164</v>
      </c>
      <c r="B52" s="3">
        <f>SUM(B45:B51)</f>
        <v>7025.7</v>
      </c>
      <c r="C52" s="3">
        <f>SUM(C45:C51)</f>
        <v>7398</v>
      </c>
    </row>
    <row r="54" spans="1:5">
      <c r="A54" s="24" t="s">
        <v>165</v>
      </c>
      <c r="B54" s="108"/>
      <c r="E54" t="s">
        <v>278</v>
      </c>
    </row>
    <row r="55" spans="1:5">
      <c r="A55" s="101" t="s">
        <v>279</v>
      </c>
      <c r="B55" s="109">
        <v>368.93</v>
      </c>
      <c r="C55" s="2">
        <v>922.32</v>
      </c>
      <c r="E55" t="s">
        <v>305</v>
      </c>
    </row>
    <row r="56" spans="1:5">
      <c r="A56" s="101" t="s">
        <v>273</v>
      </c>
      <c r="B56" s="109">
        <v>0</v>
      </c>
      <c r="C56" s="2">
        <v>0</v>
      </c>
      <c r="E56" t="s">
        <v>280</v>
      </c>
    </row>
    <row r="57" spans="1:5">
      <c r="A57" s="101" t="s">
        <v>306</v>
      </c>
      <c r="B57" s="109">
        <v>390</v>
      </c>
      <c r="C57" s="2">
        <v>0</v>
      </c>
      <c r="E57" t="s">
        <v>307</v>
      </c>
    </row>
    <row r="58" spans="1:5">
      <c r="A58" t="s">
        <v>166</v>
      </c>
      <c r="B58" s="2">
        <v>7892.42</v>
      </c>
      <c r="C58" s="2">
        <v>4315</v>
      </c>
      <c r="E58" t="s">
        <v>308</v>
      </c>
    </row>
    <row r="59" spans="1:5">
      <c r="A59" t="s">
        <v>281</v>
      </c>
      <c r="B59" s="2">
        <v>277.97000000000003</v>
      </c>
      <c r="C59" s="2">
        <v>2500</v>
      </c>
      <c r="E59" t="s">
        <v>309</v>
      </c>
    </row>
    <row r="60" spans="1:5">
      <c r="A60" t="s">
        <v>167</v>
      </c>
      <c r="B60" s="2">
        <v>5309.93</v>
      </c>
      <c r="C60" s="2">
        <v>4315</v>
      </c>
    </row>
    <row r="61" spans="1:5">
      <c r="A61" t="s">
        <v>310</v>
      </c>
      <c r="B61" s="2">
        <v>0</v>
      </c>
      <c r="C61" s="2">
        <v>1500</v>
      </c>
    </row>
    <row r="62" spans="1:5">
      <c r="A62" t="s">
        <v>168</v>
      </c>
      <c r="B62" s="2">
        <v>922.32</v>
      </c>
      <c r="C62" s="2">
        <v>1291</v>
      </c>
    </row>
    <row r="63" spans="1:5" s="4" customFormat="1">
      <c r="A63" s="24" t="s">
        <v>164</v>
      </c>
      <c r="B63" s="3">
        <f>SUM(B55:B62)</f>
        <v>15161.57</v>
      </c>
      <c r="C63" s="3">
        <f>SUM(C55:C62)</f>
        <v>14843.32</v>
      </c>
      <c r="E63" s="3"/>
    </row>
    <row r="64" spans="1:5" s="4" customFormat="1">
      <c r="A64" s="24"/>
      <c r="B64" s="3"/>
      <c r="C64" s="3"/>
      <c r="E64" s="3"/>
    </row>
    <row r="65" spans="1:5" s="4" customFormat="1">
      <c r="A65" s="24" t="s">
        <v>311</v>
      </c>
      <c r="B65" s="3"/>
      <c r="C65" s="3"/>
      <c r="E65" s="40" t="s">
        <v>312</v>
      </c>
    </row>
    <row r="66" spans="1:5" s="4" customFormat="1">
      <c r="A66" s="101" t="s">
        <v>313</v>
      </c>
      <c r="B66" s="40">
        <v>13.18</v>
      </c>
      <c r="C66" s="3"/>
      <c r="E66" s="40" t="s">
        <v>314</v>
      </c>
    </row>
    <row r="67" spans="1:5" s="4" customFormat="1">
      <c r="A67" s="101" t="s">
        <v>315</v>
      </c>
      <c r="B67" s="40">
        <v>1442.77</v>
      </c>
      <c r="C67" s="3"/>
      <c r="E67" s="40" t="s">
        <v>316</v>
      </c>
    </row>
    <row r="68" spans="1:5" s="4" customFormat="1">
      <c r="A68" s="101" t="s">
        <v>317</v>
      </c>
      <c r="B68" s="40">
        <v>474</v>
      </c>
      <c r="C68" s="3"/>
      <c r="E68" s="3"/>
    </row>
    <row r="69" spans="1:5" s="4" customFormat="1">
      <c r="A69" s="24" t="s">
        <v>164</v>
      </c>
      <c r="B69" s="3">
        <f>SUM(B66:B68)</f>
        <v>1929.95</v>
      </c>
      <c r="C69" s="3"/>
      <c r="E69" s="3"/>
    </row>
    <row r="70" spans="1:5">
      <c r="A70" s="24"/>
      <c r="B70" s="108"/>
    </row>
    <row r="71" spans="1:5">
      <c r="A71" s="24" t="s">
        <v>169</v>
      </c>
      <c r="B71" s="108"/>
    </row>
    <row r="72" spans="1:5">
      <c r="A72" t="s">
        <v>170</v>
      </c>
      <c r="B72" s="98">
        <v>6280.56</v>
      </c>
      <c r="C72" s="39">
        <v>5000</v>
      </c>
    </row>
    <row r="73" spans="1:5">
      <c r="A73" s="101" t="s">
        <v>282</v>
      </c>
      <c r="B73" s="109">
        <v>11745.3</v>
      </c>
      <c r="C73" s="39">
        <v>10000</v>
      </c>
    </row>
    <row r="74" spans="1:5">
      <c r="A74" t="s">
        <v>171</v>
      </c>
      <c r="B74" s="2">
        <v>1066.45</v>
      </c>
      <c r="C74" s="2">
        <v>1000</v>
      </c>
    </row>
    <row r="75" spans="1:5">
      <c r="A75" t="s">
        <v>283</v>
      </c>
      <c r="B75" s="2">
        <v>221</v>
      </c>
      <c r="C75" s="2">
        <v>1000</v>
      </c>
    </row>
    <row r="76" spans="1:5">
      <c r="A76" s="24" t="s">
        <v>164</v>
      </c>
      <c r="B76" s="3">
        <f>SUM(B72:B75)</f>
        <v>19313.310000000001</v>
      </c>
      <c r="C76" s="3">
        <f>SUM(C72:C75)</f>
        <v>17000</v>
      </c>
    </row>
    <row r="78" spans="1:5">
      <c r="A78" s="24" t="s">
        <v>172</v>
      </c>
      <c r="B78" s="108"/>
    </row>
    <row r="79" spans="1:5">
      <c r="A79" s="25" t="s">
        <v>173</v>
      </c>
      <c r="B79" s="40">
        <v>175</v>
      </c>
      <c r="C79" s="2">
        <v>500</v>
      </c>
    </row>
    <row r="80" spans="1:5">
      <c r="A80" t="s">
        <v>174</v>
      </c>
      <c r="B80" s="2">
        <v>349.09</v>
      </c>
      <c r="C80" s="2">
        <v>300</v>
      </c>
      <c r="E80" t="s">
        <v>318</v>
      </c>
    </row>
    <row r="81" spans="1:3">
      <c r="A81" t="s">
        <v>284</v>
      </c>
      <c r="B81" s="2">
        <v>649.08000000000004</v>
      </c>
      <c r="C81" s="2">
        <v>500</v>
      </c>
    </row>
    <row r="82" spans="1:3">
      <c r="A82" t="s">
        <v>175</v>
      </c>
      <c r="B82" s="2">
        <v>45.83</v>
      </c>
      <c r="C82" s="2">
        <v>100</v>
      </c>
    </row>
    <row r="83" spans="1:3">
      <c r="A83" s="24" t="s">
        <v>164</v>
      </c>
      <c r="B83" s="3">
        <f>SUM(B79:B82)</f>
        <v>1219</v>
      </c>
      <c r="C83" s="3">
        <f>SUM(C79:C82)</f>
        <v>1400</v>
      </c>
    </row>
    <row r="84" spans="1:3">
      <c r="A84" s="24"/>
      <c r="B84" s="108"/>
      <c r="C84" s="3"/>
    </row>
    <row r="86" spans="1:3">
      <c r="A86" s="23" t="s">
        <v>176</v>
      </c>
      <c r="B86" s="3">
        <f>SUM(B37+B69+B42+B52+B63+B76+B83)</f>
        <v>63628.31</v>
      </c>
      <c r="C86" s="3">
        <f>SUM(C37+C42+C52+C63+C76+C83)</f>
        <v>59516.32</v>
      </c>
    </row>
    <row r="88" spans="1:3">
      <c r="A88" s="25" t="s">
        <v>63</v>
      </c>
      <c r="B88" s="2">
        <f>B30-B86</f>
        <v>3871.6900000000023</v>
      </c>
      <c r="C88" s="2">
        <f>C30-C86</f>
        <v>5233.68</v>
      </c>
    </row>
    <row r="91" spans="1:3">
      <c r="A91" s="19"/>
      <c r="B91" s="98"/>
    </row>
    <row r="92" spans="1:3">
      <c r="A92" s="19"/>
      <c r="B92" s="98"/>
    </row>
    <row r="93" spans="1:3">
      <c r="A93" s="19"/>
      <c r="B93" s="98"/>
      <c r="C93"/>
    </row>
    <row r="94" spans="1:3">
      <c r="C94"/>
    </row>
    <row r="95" spans="1:3">
      <c r="C95"/>
    </row>
    <row r="96" spans="1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  <row r="114" spans="2:3">
      <c r="B114"/>
      <c r="C114"/>
    </row>
    <row r="115" spans="2:3">
      <c r="B115"/>
      <c r="C115"/>
    </row>
    <row r="116" spans="2:3">
      <c r="B116"/>
      <c r="C116"/>
    </row>
    <row r="117" spans="2:3">
      <c r="B117"/>
      <c r="C117"/>
    </row>
    <row r="118" spans="2:3">
      <c r="B118"/>
      <c r="C118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K33"/>
  <sheetViews>
    <sheetView workbookViewId="0">
      <selection activeCell="N36" sqref="N36"/>
    </sheetView>
  </sheetViews>
  <sheetFormatPr baseColWidth="10" defaultColWidth="11" defaultRowHeight="15" x14ac:dyDescent="0"/>
  <cols>
    <col min="3" max="3" width="22.6640625" bestFit="1" customWidth="1"/>
    <col min="4" max="4" width="22.6640625" customWidth="1"/>
    <col min="5" max="5" width="16" style="2" customWidth="1"/>
    <col min="6" max="6" width="2.83203125" style="94" customWidth="1"/>
    <col min="7" max="7" width="11" style="5"/>
    <col min="8" max="8" width="11" style="2"/>
  </cols>
  <sheetData>
    <row r="3" spans="1:11">
      <c r="A3" t="s">
        <v>51</v>
      </c>
    </row>
    <row r="5" spans="1:11">
      <c r="E5" s="2" t="s">
        <v>257</v>
      </c>
      <c r="G5" s="5" t="s">
        <v>214</v>
      </c>
      <c r="H5" s="2" t="s">
        <v>210</v>
      </c>
    </row>
    <row r="6" spans="1:11">
      <c r="A6" t="s">
        <v>0</v>
      </c>
      <c r="E6" s="2">
        <v>6095.63</v>
      </c>
      <c r="G6" s="6">
        <v>69480.22</v>
      </c>
      <c r="H6" s="2">
        <v>69480.22</v>
      </c>
    </row>
    <row r="7" spans="1:11">
      <c r="B7">
        <v>1715701</v>
      </c>
      <c r="C7" t="s">
        <v>55</v>
      </c>
      <c r="G7" s="5">
        <v>-17000</v>
      </c>
      <c r="H7" s="2">
        <v>-17000</v>
      </c>
      <c r="K7" t="s">
        <v>57</v>
      </c>
    </row>
    <row r="8" spans="1:11">
      <c r="A8" s="4" t="s">
        <v>58</v>
      </c>
      <c r="E8" s="3">
        <v>6095.63</v>
      </c>
      <c r="F8" s="111"/>
      <c r="G8" s="5">
        <f>SUM(G6:G7)</f>
        <v>52480.22</v>
      </c>
      <c r="H8" s="3">
        <f>SUM(H6:H7)</f>
        <v>52480.22</v>
      </c>
    </row>
    <row r="10" spans="1:11">
      <c r="A10" s="4" t="s">
        <v>9</v>
      </c>
    </row>
    <row r="12" spans="1:11">
      <c r="B12" t="s">
        <v>52</v>
      </c>
    </row>
    <row r="13" spans="1:11">
      <c r="C13" t="s">
        <v>4</v>
      </c>
      <c r="E13" s="2">
        <v>8000</v>
      </c>
      <c r="H13" s="2">
        <v>8600</v>
      </c>
      <c r="K13" t="s">
        <v>67</v>
      </c>
    </row>
    <row r="14" spans="1:11">
      <c r="C14" t="s">
        <v>5</v>
      </c>
      <c r="G14" s="5">
        <v>2760.38</v>
      </c>
      <c r="H14" s="2">
        <v>2760.38</v>
      </c>
      <c r="K14" t="s">
        <v>59</v>
      </c>
    </row>
    <row r="15" spans="1:11">
      <c r="B15" t="s">
        <v>60</v>
      </c>
      <c r="E15" s="3">
        <v>8000</v>
      </c>
      <c r="F15" s="111"/>
      <c r="G15" s="5">
        <f>SUBTOTAL(9,G13:G14)</f>
        <v>2760.38</v>
      </c>
      <c r="H15" s="2">
        <f>SUBTOTAL(9,H13:H14)</f>
        <v>11360.380000000001</v>
      </c>
    </row>
    <row r="17" spans="1:11">
      <c r="A17" s="4" t="s">
        <v>53</v>
      </c>
      <c r="E17" s="3">
        <f>SUM(E8+E15)</f>
        <v>14095.630000000001</v>
      </c>
      <c r="F17" s="111"/>
      <c r="G17" s="110">
        <f>SUM(G8+G15)</f>
        <v>55240.6</v>
      </c>
      <c r="H17" s="7">
        <f>SUM(H8+H15)</f>
        <v>63840.600000000006</v>
      </c>
    </row>
    <row r="20" spans="1:11">
      <c r="A20" s="4" t="s">
        <v>22</v>
      </c>
    </row>
    <row r="21" spans="1:11">
      <c r="B21">
        <v>1715701</v>
      </c>
      <c r="C21" t="s">
        <v>56</v>
      </c>
      <c r="E21" s="2">
        <v>0</v>
      </c>
      <c r="G21" s="5">
        <v>25000</v>
      </c>
      <c r="H21" s="2">
        <v>25000</v>
      </c>
    </row>
    <row r="22" spans="1:11">
      <c r="B22">
        <v>1715750</v>
      </c>
      <c r="C22" t="s">
        <v>50</v>
      </c>
      <c r="E22" s="2">
        <v>10500</v>
      </c>
      <c r="G22" s="5">
        <v>17937.5</v>
      </c>
      <c r="H22" s="2">
        <v>6250</v>
      </c>
      <c r="K22" t="s">
        <v>354</v>
      </c>
    </row>
    <row r="23" spans="1:11">
      <c r="C23" t="s">
        <v>54</v>
      </c>
      <c r="H23" s="2">
        <v>5250</v>
      </c>
    </row>
    <row r="24" spans="1:11">
      <c r="B24">
        <v>1715714</v>
      </c>
      <c r="C24" t="s">
        <v>45</v>
      </c>
      <c r="E24" s="2">
        <v>3500</v>
      </c>
      <c r="G24" s="5">
        <v>1452.92</v>
      </c>
      <c r="H24" s="2">
        <v>15000</v>
      </c>
    </row>
    <row r="25" spans="1:11">
      <c r="B25">
        <v>1715714</v>
      </c>
      <c r="C25" t="s">
        <v>45</v>
      </c>
      <c r="G25" s="5">
        <v>1647.65</v>
      </c>
      <c r="H25" s="2">
        <v>2760.38</v>
      </c>
      <c r="K25" t="s">
        <v>66</v>
      </c>
    </row>
    <row r="26" spans="1:11">
      <c r="C26" t="s">
        <v>40</v>
      </c>
      <c r="G26" s="5">
        <v>975.83</v>
      </c>
      <c r="H26" s="2">
        <v>1500</v>
      </c>
      <c r="K26" t="s">
        <v>64</v>
      </c>
    </row>
    <row r="27" spans="1:11">
      <c r="C27" t="s">
        <v>61</v>
      </c>
      <c r="E27" s="3">
        <f>SUM(E21:E26)</f>
        <v>14000</v>
      </c>
      <c r="F27" s="111"/>
      <c r="G27" s="40">
        <f>SUBTOTAL(9,G21:G26)</f>
        <v>47013.9</v>
      </c>
      <c r="H27" s="3">
        <f>SUBTOTAL(9,H21:H26)</f>
        <v>55760.38</v>
      </c>
    </row>
    <row r="29" spans="1:11">
      <c r="C29" t="s">
        <v>48</v>
      </c>
      <c r="G29" s="2">
        <v>2964</v>
      </c>
      <c r="H29" s="2">
        <v>8080</v>
      </c>
    </row>
    <row r="31" spans="1:11">
      <c r="A31" t="s">
        <v>62</v>
      </c>
      <c r="E31" s="3">
        <f>E27</f>
        <v>14000</v>
      </c>
      <c r="F31" s="111"/>
      <c r="G31" s="40">
        <f>SUM(G27+G29)</f>
        <v>49977.9</v>
      </c>
      <c r="H31" s="40">
        <f>SUM(H27+H29)</f>
        <v>63840.38</v>
      </c>
    </row>
    <row r="33" spans="1:8">
      <c r="A33" t="s">
        <v>63</v>
      </c>
      <c r="E33" s="3">
        <f>E17-E31</f>
        <v>95.630000000001019</v>
      </c>
      <c r="F33" s="111"/>
      <c r="G33" s="2">
        <f>G17-G31</f>
        <v>5262.6999999999971</v>
      </c>
      <c r="H33" s="2">
        <f>H17-H31</f>
        <v>0.22000000000844011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O99"/>
  <sheetViews>
    <sheetView topLeftCell="A57" workbookViewId="0">
      <selection activeCell="E66" sqref="E66"/>
    </sheetView>
  </sheetViews>
  <sheetFormatPr baseColWidth="10" defaultColWidth="11" defaultRowHeight="15" x14ac:dyDescent="0"/>
  <cols>
    <col min="3" max="3" width="23" bestFit="1" customWidth="1"/>
    <col min="4" max="5" width="23" customWidth="1"/>
    <col min="6" max="6" width="13.1640625" customWidth="1"/>
    <col min="7" max="7" width="3.5" style="94" customWidth="1"/>
    <col min="8" max="8" width="11.6640625" style="5" bestFit="1" customWidth="1"/>
    <col min="9" max="9" width="13.5" style="5" bestFit="1" customWidth="1"/>
    <col min="10" max="10" width="3.83203125" style="94" customWidth="1"/>
    <col min="11" max="11" width="12.83203125" style="5" bestFit="1" customWidth="1"/>
    <col min="12" max="12" width="14.1640625" bestFit="1" customWidth="1"/>
  </cols>
  <sheetData>
    <row r="2" spans="1:15">
      <c r="A2" s="4" t="s">
        <v>9</v>
      </c>
      <c r="E2" t="s">
        <v>327</v>
      </c>
      <c r="F2" t="s">
        <v>257</v>
      </c>
      <c r="H2" s="29" t="s">
        <v>214</v>
      </c>
      <c r="I2" s="29" t="s">
        <v>210</v>
      </c>
      <c r="K2" s="29" t="s">
        <v>155</v>
      </c>
      <c r="M2" s="29" t="s">
        <v>216</v>
      </c>
    </row>
    <row r="4" spans="1:15">
      <c r="A4" s="4" t="s">
        <v>10</v>
      </c>
      <c r="B4" t="s">
        <v>0</v>
      </c>
      <c r="F4">
        <v>21750</v>
      </c>
      <c r="I4" s="5">
        <v>685</v>
      </c>
      <c r="K4" s="5">
        <v>0</v>
      </c>
    </row>
    <row r="6" spans="1:15">
      <c r="B6" t="s">
        <v>7</v>
      </c>
    </row>
    <row r="7" spans="1:15">
      <c r="C7" t="s">
        <v>3</v>
      </c>
      <c r="F7" s="32"/>
      <c r="H7" s="5">
        <v>25000</v>
      </c>
      <c r="I7" s="5">
        <v>30000</v>
      </c>
      <c r="K7" s="5">
        <v>30000</v>
      </c>
      <c r="M7" t="s">
        <v>235</v>
      </c>
    </row>
    <row r="8" spans="1:15">
      <c r="C8" t="s">
        <v>46</v>
      </c>
      <c r="I8" s="5">
        <v>38000</v>
      </c>
    </row>
    <row r="9" spans="1:15">
      <c r="C9" t="s">
        <v>164</v>
      </c>
      <c r="I9" s="42">
        <f>SUBTOTAL(9,I7:I8)</f>
        <v>68000</v>
      </c>
    </row>
    <row r="10" spans="1:15">
      <c r="I10" s="33"/>
    </row>
    <row r="11" spans="1:15">
      <c r="B11" t="s">
        <v>218</v>
      </c>
    </row>
    <row r="12" spans="1:15">
      <c r="B12">
        <v>1714105</v>
      </c>
      <c r="C12" t="s">
        <v>226</v>
      </c>
      <c r="I12" s="5">
        <v>3500</v>
      </c>
      <c r="O12" t="s">
        <v>291</v>
      </c>
    </row>
    <row r="13" spans="1:15">
      <c r="B13">
        <v>1714107</v>
      </c>
      <c r="C13" t="s">
        <v>225</v>
      </c>
      <c r="I13" s="5">
        <v>3000</v>
      </c>
    </row>
    <row r="14" spans="1:15">
      <c r="C14" t="s">
        <v>164</v>
      </c>
      <c r="I14" s="42">
        <f>SUBTOTAL(9,I12:I13)</f>
        <v>6500</v>
      </c>
    </row>
    <row r="16" spans="1:15">
      <c r="B16" t="s">
        <v>219</v>
      </c>
      <c r="C16" t="s">
        <v>220</v>
      </c>
    </row>
    <row r="17" spans="1:15">
      <c r="C17" t="s">
        <v>221</v>
      </c>
    </row>
    <row r="18" spans="1:15" s="4" customFormat="1">
      <c r="A18" s="4" t="s">
        <v>21</v>
      </c>
      <c r="E18" s="4">
        <v>21750</v>
      </c>
      <c r="F18" s="4">
        <f>SUM(F4:F17)</f>
        <v>21750</v>
      </c>
      <c r="G18" s="111"/>
      <c r="H18" s="34">
        <v>25000</v>
      </c>
      <c r="I18" s="34">
        <f>SUM(I9 +I14)</f>
        <v>74500</v>
      </c>
      <c r="J18" s="111"/>
      <c r="K18" s="34">
        <v>30000</v>
      </c>
    </row>
    <row r="21" spans="1:15">
      <c r="A21" s="4" t="s">
        <v>22</v>
      </c>
    </row>
    <row r="22" spans="1:15">
      <c r="A22" s="4"/>
      <c r="B22" s="4" t="s">
        <v>289</v>
      </c>
    </row>
    <row r="23" spans="1:15">
      <c r="A23" s="4"/>
      <c r="C23" t="s">
        <v>288</v>
      </c>
      <c r="H23" s="5">
        <v>1750</v>
      </c>
    </row>
    <row r="24" spans="1:15">
      <c r="A24" s="4"/>
    </row>
    <row r="25" spans="1:15">
      <c r="B25" s="4" t="s">
        <v>222</v>
      </c>
    </row>
    <row r="26" spans="1:15">
      <c r="B26">
        <v>1715702</v>
      </c>
      <c r="C26" t="s">
        <v>26</v>
      </c>
      <c r="E26">
        <v>8000</v>
      </c>
      <c r="F26" s="32">
        <v>8000</v>
      </c>
      <c r="I26" s="5">
        <v>8000</v>
      </c>
      <c r="M26" t="s">
        <v>46</v>
      </c>
      <c r="N26" t="s">
        <v>3</v>
      </c>
      <c r="O26" t="s">
        <v>287</v>
      </c>
    </row>
    <row r="27" spans="1:15">
      <c r="B27">
        <v>1715702</v>
      </c>
      <c r="C27" t="s">
        <v>26</v>
      </c>
      <c r="E27">
        <v>0</v>
      </c>
      <c r="I27" s="5">
        <v>5000</v>
      </c>
      <c r="M27" t="s">
        <v>3</v>
      </c>
    </row>
    <row r="28" spans="1:15">
      <c r="B28">
        <v>1715750</v>
      </c>
      <c r="C28" t="s">
        <v>215</v>
      </c>
      <c r="E28">
        <v>0</v>
      </c>
      <c r="I28" s="5">
        <v>8000</v>
      </c>
      <c r="M28" t="s">
        <v>46</v>
      </c>
    </row>
    <row r="29" spans="1:15">
      <c r="B29">
        <v>1715720</v>
      </c>
      <c r="C29" t="s">
        <v>227</v>
      </c>
      <c r="E29">
        <v>0</v>
      </c>
      <c r="I29" s="5">
        <v>6000</v>
      </c>
      <c r="M29" t="s">
        <v>46</v>
      </c>
    </row>
    <row r="30" spans="1:15">
      <c r="B30">
        <v>1715766</v>
      </c>
      <c r="C30" t="s">
        <v>328</v>
      </c>
      <c r="E30">
        <v>0</v>
      </c>
      <c r="I30" s="5">
        <v>420</v>
      </c>
      <c r="M30" t="s">
        <v>46</v>
      </c>
    </row>
    <row r="31" spans="1:15">
      <c r="B31">
        <v>1715767</v>
      </c>
      <c r="C31" t="s">
        <v>43</v>
      </c>
      <c r="E31">
        <v>0</v>
      </c>
      <c r="I31" s="5">
        <v>400</v>
      </c>
      <c r="M31" t="s">
        <v>46</v>
      </c>
    </row>
    <row r="32" spans="1:15">
      <c r="B32">
        <v>1715773</v>
      </c>
      <c r="C32" t="s">
        <v>224</v>
      </c>
      <c r="E32">
        <v>0</v>
      </c>
      <c r="I32" s="5">
        <v>2800</v>
      </c>
      <c r="M32" t="s">
        <v>46</v>
      </c>
    </row>
    <row r="33" spans="1:15">
      <c r="B33">
        <v>1715773</v>
      </c>
      <c r="C33" t="s">
        <v>229</v>
      </c>
      <c r="E33">
        <v>3744</v>
      </c>
      <c r="I33" s="5">
        <v>8400</v>
      </c>
      <c r="M33" t="s">
        <v>46</v>
      </c>
      <c r="N33" t="s">
        <v>3</v>
      </c>
      <c r="O33" t="s">
        <v>286</v>
      </c>
    </row>
    <row r="34" spans="1:15">
      <c r="B34">
        <v>1715774</v>
      </c>
      <c r="C34" t="s">
        <v>230</v>
      </c>
      <c r="E34">
        <v>0</v>
      </c>
      <c r="I34" s="5">
        <v>1800</v>
      </c>
      <c r="M34" t="s">
        <v>231</v>
      </c>
      <c r="O34" t="s">
        <v>290</v>
      </c>
    </row>
    <row r="35" spans="1:15">
      <c r="B35">
        <v>1715714</v>
      </c>
      <c r="C35" t="s">
        <v>211</v>
      </c>
      <c r="E35" s="32">
        <v>10006</v>
      </c>
      <c r="F35" s="32">
        <v>13000</v>
      </c>
      <c r="H35" s="5">
        <v>1500</v>
      </c>
      <c r="I35" s="41">
        <v>10000</v>
      </c>
      <c r="K35" s="5">
        <v>2000</v>
      </c>
      <c r="M35" t="s">
        <v>3</v>
      </c>
      <c r="N35" t="s">
        <v>3</v>
      </c>
      <c r="O35" t="s">
        <v>285</v>
      </c>
    </row>
    <row r="36" spans="1:15">
      <c r="B36">
        <v>1715779</v>
      </c>
      <c r="C36" t="s">
        <v>228</v>
      </c>
      <c r="E36">
        <v>0</v>
      </c>
      <c r="I36" s="5">
        <v>3200</v>
      </c>
      <c r="M36" t="s">
        <v>11</v>
      </c>
    </row>
    <row r="37" spans="1:15">
      <c r="B37" t="s">
        <v>61</v>
      </c>
      <c r="E37">
        <f>SUM(E25:E36)</f>
        <v>21750</v>
      </c>
      <c r="F37" s="32">
        <f>SUM(F26:F36)</f>
        <v>21000</v>
      </c>
      <c r="H37" s="5">
        <f>SUM(H26:H36)</f>
        <v>1500</v>
      </c>
      <c r="I37" s="42">
        <f>SUBTOTAL(9,I26:I36)</f>
        <v>54020</v>
      </c>
    </row>
    <row r="40" spans="1:15" s="4" customFormat="1">
      <c r="B40" s="4" t="s">
        <v>232</v>
      </c>
      <c r="G40" s="111"/>
      <c r="H40" s="34"/>
      <c r="I40" s="35"/>
      <c r="J40" s="111"/>
      <c r="K40" s="34"/>
    </row>
    <row r="41" spans="1:15">
      <c r="B41" s="4"/>
    </row>
    <row r="42" spans="1:15">
      <c r="B42">
        <v>1715702</v>
      </c>
      <c r="C42" t="s">
        <v>26</v>
      </c>
      <c r="I42" s="41">
        <v>10000</v>
      </c>
      <c r="K42" s="5">
        <v>18000</v>
      </c>
      <c r="M42" t="s">
        <v>3</v>
      </c>
      <c r="O42" t="s">
        <v>217</v>
      </c>
    </row>
    <row r="43" spans="1:15">
      <c r="B43">
        <v>1715711</v>
      </c>
      <c r="C43" t="s">
        <v>213</v>
      </c>
      <c r="I43" s="41">
        <v>2500</v>
      </c>
      <c r="M43" t="s">
        <v>3</v>
      </c>
      <c r="O43" t="s">
        <v>233</v>
      </c>
    </row>
    <row r="44" spans="1:15">
      <c r="B44">
        <v>1715766</v>
      </c>
      <c r="C44" t="s">
        <v>223</v>
      </c>
      <c r="I44" s="41">
        <v>215</v>
      </c>
      <c r="K44" s="5">
        <v>215</v>
      </c>
      <c r="M44" t="s">
        <v>3</v>
      </c>
    </row>
    <row r="45" spans="1:15">
      <c r="B45">
        <v>1715714</v>
      </c>
      <c r="C45" t="s">
        <v>212</v>
      </c>
      <c r="I45" s="5">
        <v>0</v>
      </c>
      <c r="K45" s="5">
        <v>7000</v>
      </c>
    </row>
    <row r="46" spans="1:15">
      <c r="B46" t="s">
        <v>61</v>
      </c>
      <c r="H46" s="5">
        <f>SUM(H42:H45)</f>
        <v>0</v>
      </c>
      <c r="I46" s="41">
        <f>SUBTOTAL(9,I42:I45)</f>
        <v>12715</v>
      </c>
      <c r="O46" t="s">
        <v>234</v>
      </c>
    </row>
    <row r="48" spans="1:15" s="4" customFormat="1">
      <c r="A48" s="4" t="s">
        <v>47</v>
      </c>
      <c r="E48" s="115">
        <f>SUM(E23+E37)</f>
        <v>21750</v>
      </c>
      <c r="F48" s="115">
        <f>SUM(F23+F37)</f>
        <v>21000</v>
      </c>
      <c r="G48" s="111"/>
      <c r="H48" s="34">
        <f>SUM(H23+H37+H46)</f>
        <v>3250</v>
      </c>
      <c r="I48" s="34">
        <f>SUM(I37+I46)</f>
        <v>66735</v>
      </c>
      <c r="J48" s="111"/>
      <c r="K48" s="34">
        <f>SUM(K24:K45)</f>
        <v>27215</v>
      </c>
    </row>
    <row r="51" spans="1:15">
      <c r="C51" t="s">
        <v>48</v>
      </c>
      <c r="F51">
        <v>750</v>
      </c>
      <c r="H51" s="5">
        <f>H18-H48</f>
        <v>21750</v>
      </c>
      <c r="I51" s="5">
        <f>I18-I48</f>
        <v>7765</v>
      </c>
      <c r="O51" s="36"/>
    </row>
    <row r="52" spans="1:15">
      <c r="C52" t="s">
        <v>65</v>
      </c>
      <c r="E52">
        <v>0</v>
      </c>
      <c r="K52" s="5">
        <v>685</v>
      </c>
    </row>
    <row r="54" spans="1:15">
      <c r="A54" t="s">
        <v>49</v>
      </c>
      <c r="E54" s="32">
        <f>E18-(E48+E52)</f>
        <v>0</v>
      </c>
      <c r="F54" s="32">
        <f>F18-(F48+F51)</f>
        <v>0</v>
      </c>
      <c r="H54" s="5">
        <v>0</v>
      </c>
      <c r="I54" s="5">
        <f>I18-(I48+I51)</f>
        <v>0</v>
      </c>
      <c r="K54" s="5">
        <f>SUM(K26:K52)</f>
        <v>55115</v>
      </c>
    </row>
    <row r="60" spans="1:15" s="30" customFormat="1">
      <c r="G60" s="94"/>
      <c r="H60" s="31"/>
      <c r="I60" s="31"/>
      <c r="J60" s="94"/>
      <c r="K60" s="31"/>
    </row>
    <row r="62" spans="1:15">
      <c r="C62" t="s">
        <v>345</v>
      </c>
      <c r="E62" t="s">
        <v>353</v>
      </c>
      <c r="F62" t="s">
        <v>347</v>
      </c>
    </row>
    <row r="63" spans="1:15">
      <c r="D63" t="s">
        <v>329</v>
      </c>
      <c r="E63">
        <v>2500</v>
      </c>
      <c r="F63" s="5">
        <v>2500</v>
      </c>
      <c r="G63" s="112"/>
      <c r="H63"/>
      <c r="K63"/>
      <c r="O63" s="4"/>
    </row>
    <row r="64" spans="1:15">
      <c r="D64" t="s">
        <v>352</v>
      </c>
      <c r="E64">
        <v>35</v>
      </c>
      <c r="F64" s="5">
        <v>35</v>
      </c>
      <c r="G64" s="112"/>
      <c r="H64"/>
      <c r="K64"/>
      <c r="O64" s="4"/>
    </row>
    <row r="65" spans="2:15">
      <c r="D65" t="s">
        <v>330</v>
      </c>
      <c r="E65">
        <v>708.7</v>
      </c>
      <c r="F65" s="5">
        <v>750</v>
      </c>
      <c r="G65" s="112"/>
      <c r="I65" s="32"/>
      <c r="K65"/>
      <c r="O65" s="5"/>
    </row>
    <row r="66" spans="2:15">
      <c r="D66" t="s">
        <v>331</v>
      </c>
      <c r="E66" s="9">
        <v>500</v>
      </c>
      <c r="F66" s="5">
        <v>500</v>
      </c>
      <c r="G66" s="112"/>
      <c r="I66" s="32"/>
      <c r="O66" s="5"/>
    </row>
    <row r="67" spans="2:15">
      <c r="F67" s="5"/>
      <c r="G67" s="112"/>
      <c r="I67" s="32"/>
      <c r="O67" s="5"/>
    </row>
    <row r="68" spans="2:15">
      <c r="D68" t="s">
        <v>164</v>
      </c>
      <c r="E68">
        <f>SUM(E63:E66)</f>
        <v>3743.7</v>
      </c>
      <c r="F68" s="5">
        <f>SUM(F63:F66)</f>
        <v>3785</v>
      </c>
      <c r="G68" s="112"/>
      <c r="I68" s="32"/>
      <c r="O68" s="5"/>
    </row>
    <row r="69" spans="2:15">
      <c r="F69" s="5"/>
      <c r="G69" s="112"/>
      <c r="I69" s="32"/>
    </row>
    <row r="70" spans="2:15">
      <c r="F70" s="5"/>
      <c r="G70" s="112"/>
    </row>
    <row r="71" spans="2:15">
      <c r="B71" t="s">
        <v>332</v>
      </c>
      <c r="C71" s="120" t="s">
        <v>333</v>
      </c>
      <c r="D71" s="120" t="s">
        <v>340</v>
      </c>
      <c r="E71" s="9">
        <v>1720</v>
      </c>
      <c r="F71" s="5">
        <v>1625</v>
      </c>
      <c r="G71" s="112"/>
      <c r="O71" s="5"/>
    </row>
    <row r="72" spans="2:15">
      <c r="C72" s="120" t="s">
        <v>334</v>
      </c>
      <c r="D72" s="120" t="s">
        <v>341</v>
      </c>
      <c r="E72">
        <v>1225</v>
      </c>
      <c r="F72" s="17">
        <v>1225</v>
      </c>
      <c r="G72" s="112"/>
      <c r="H72" s="17"/>
      <c r="I72" s="17"/>
    </row>
    <row r="73" spans="2:15">
      <c r="C73" s="120" t="s">
        <v>335</v>
      </c>
      <c r="D73" s="120" t="s">
        <v>342</v>
      </c>
      <c r="E73">
        <v>450</v>
      </c>
      <c r="F73" s="17">
        <v>450</v>
      </c>
      <c r="G73" s="112"/>
      <c r="H73" s="17"/>
      <c r="I73" s="17"/>
    </row>
    <row r="74" spans="2:15">
      <c r="C74" s="120" t="s">
        <v>346</v>
      </c>
      <c r="D74" s="120" t="s">
        <v>342</v>
      </c>
      <c r="E74">
        <v>320</v>
      </c>
      <c r="F74" s="17">
        <v>320</v>
      </c>
      <c r="G74" s="112"/>
      <c r="H74" s="17"/>
      <c r="I74" s="17"/>
    </row>
    <row r="75" spans="2:15">
      <c r="C75" s="120" t="s">
        <v>336</v>
      </c>
      <c r="D75" s="120" t="s">
        <v>343</v>
      </c>
      <c r="E75">
        <v>1600</v>
      </c>
      <c r="F75" s="17">
        <v>1600</v>
      </c>
      <c r="G75" s="112"/>
      <c r="H75" s="17"/>
      <c r="I75" s="17"/>
    </row>
    <row r="76" spans="2:15">
      <c r="C76" s="120" t="s">
        <v>337</v>
      </c>
      <c r="D76" s="120" t="s">
        <v>344</v>
      </c>
      <c r="E76">
        <v>1090.69</v>
      </c>
      <c r="F76" s="17">
        <v>925</v>
      </c>
      <c r="G76" s="112"/>
      <c r="H76" s="17"/>
      <c r="I76" s="17"/>
      <c r="N76" s="37"/>
    </row>
    <row r="77" spans="2:15">
      <c r="C77" s="120" t="s">
        <v>338</v>
      </c>
      <c r="D77" s="120" t="s">
        <v>344</v>
      </c>
      <c r="E77">
        <v>925</v>
      </c>
      <c r="F77" s="17">
        <v>925</v>
      </c>
      <c r="G77" s="112"/>
      <c r="H77" s="17"/>
      <c r="I77" s="17"/>
      <c r="N77" s="5"/>
    </row>
    <row r="78" spans="2:15">
      <c r="C78" s="120" t="s">
        <v>350</v>
      </c>
      <c r="D78" s="120" t="s">
        <v>351</v>
      </c>
      <c r="E78">
        <v>925</v>
      </c>
      <c r="F78" s="17">
        <v>925</v>
      </c>
      <c r="G78" s="112"/>
      <c r="H78" s="17"/>
      <c r="I78" s="17"/>
      <c r="N78" s="5"/>
    </row>
    <row r="79" spans="2:15">
      <c r="C79" s="120" t="s">
        <v>339</v>
      </c>
      <c r="D79" s="120" t="s">
        <v>349</v>
      </c>
      <c r="E79">
        <v>1225</v>
      </c>
      <c r="F79" s="17">
        <v>1225</v>
      </c>
      <c r="G79" s="112"/>
      <c r="H79" s="17"/>
      <c r="I79" s="17"/>
      <c r="L79" s="19"/>
      <c r="N79" s="5"/>
    </row>
    <row r="80" spans="2:15">
      <c r="C80" s="121" t="s">
        <v>348</v>
      </c>
      <c r="D80" s="121" t="s">
        <v>111</v>
      </c>
      <c r="E80" s="19">
        <v>525</v>
      </c>
      <c r="F80" s="17">
        <v>525</v>
      </c>
      <c r="G80" s="112"/>
      <c r="H80" s="17"/>
      <c r="I80" s="17"/>
      <c r="L80" s="19"/>
    </row>
    <row r="81" spans="3:14">
      <c r="C81" s="19"/>
      <c r="D81" s="121" t="s">
        <v>61</v>
      </c>
      <c r="E81" s="19">
        <f>SUM(E71:E80)</f>
        <v>10005.69</v>
      </c>
      <c r="F81" s="17">
        <f>SUM(F71:F80)</f>
        <v>9745</v>
      </c>
      <c r="G81" s="112"/>
      <c r="H81" s="17"/>
      <c r="I81" s="17"/>
    </row>
    <row r="82" spans="3:14">
      <c r="C82" s="19"/>
      <c r="D82" s="19"/>
      <c r="E82" s="19"/>
      <c r="F82" s="17"/>
      <c r="G82" s="112"/>
      <c r="H82" s="17"/>
      <c r="I82" s="17"/>
      <c r="N82" s="37"/>
    </row>
    <row r="83" spans="3:14">
      <c r="C83" s="19"/>
      <c r="D83" s="19"/>
      <c r="E83" s="19"/>
      <c r="F83" s="43"/>
      <c r="G83" s="114"/>
      <c r="H83" s="17"/>
      <c r="I83" s="17"/>
    </row>
    <row r="84" spans="3:14">
      <c r="C84" s="19"/>
      <c r="D84" s="19"/>
      <c r="E84" s="19"/>
      <c r="F84" s="17"/>
      <c r="G84" s="112"/>
      <c r="H84" s="17"/>
      <c r="I84" s="17"/>
    </row>
    <row r="85" spans="3:14">
      <c r="C85" s="19"/>
      <c r="D85" s="19"/>
      <c r="E85" s="19"/>
      <c r="F85" s="17"/>
      <c r="G85" s="112"/>
      <c r="H85" s="17"/>
      <c r="I85" s="17"/>
    </row>
    <row r="86" spans="3:14">
      <c r="C86" s="19"/>
      <c r="D86" s="19"/>
      <c r="E86" s="19"/>
      <c r="F86" s="17"/>
      <c r="G86" s="112"/>
      <c r="H86" s="17"/>
      <c r="I86" s="17"/>
    </row>
    <row r="87" spans="3:14" s="4" customFormat="1">
      <c r="C87" s="18"/>
      <c r="D87" s="18"/>
      <c r="E87" s="18"/>
      <c r="F87" s="22"/>
      <c r="G87" s="113"/>
      <c r="H87" s="22"/>
      <c r="I87" s="22"/>
      <c r="J87" s="111"/>
      <c r="K87" s="34"/>
    </row>
    <row r="88" spans="3:14">
      <c r="C88" s="19"/>
      <c r="D88" s="19"/>
      <c r="E88" s="19"/>
      <c r="F88" s="17"/>
      <c r="G88" s="112"/>
      <c r="H88" s="17"/>
      <c r="I88" s="17"/>
    </row>
    <row r="89" spans="3:14">
      <c r="C89" s="19"/>
      <c r="D89" s="19"/>
      <c r="E89" s="19"/>
      <c r="F89" s="17"/>
      <c r="G89" s="112"/>
      <c r="H89" s="17"/>
      <c r="I89" s="17"/>
    </row>
    <row r="90" spans="3:14">
      <c r="C90" s="19"/>
      <c r="D90" s="19"/>
      <c r="E90" s="19"/>
      <c r="F90" s="17"/>
      <c r="G90" s="112"/>
      <c r="H90" s="17"/>
      <c r="I90" s="17"/>
    </row>
    <row r="91" spans="3:14">
      <c r="C91" s="19"/>
      <c r="D91" s="19"/>
      <c r="E91" s="19"/>
      <c r="F91" s="17"/>
      <c r="G91" s="112"/>
      <c r="H91" s="17"/>
      <c r="I91" s="17"/>
    </row>
    <row r="92" spans="3:14">
      <c r="C92" s="19"/>
      <c r="D92" s="19"/>
      <c r="E92" s="19"/>
      <c r="F92" s="17"/>
      <c r="G92" s="112"/>
      <c r="H92" s="17"/>
      <c r="I92" s="17"/>
    </row>
    <row r="93" spans="3:14">
      <c r="C93" s="19"/>
      <c r="D93" s="19"/>
      <c r="E93" s="19"/>
      <c r="F93" s="17"/>
      <c r="G93" s="112"/>
      <c r="H93" s="17"/>
      <c r="I93" s="17"/>
    </row>
    <row r="94" spans="3:14">
      <c r="C94" s="19"/>
      <c r="D94" s="19"/>
      <c r="E94" s="19"/>
      <c r="F94" s="17"/>
      <c r="G94" s="112"/>
      <c r="H94" s="17"/>
      <c r="I94" s="17"/>
    </row>
    <row r="95" spans="3:14">
      <c r="C95" s="19"/>
      <c r="D95" s="19"/>
      <c r="E95" s="19"/>
      <c r="F95" s="17"/>
      <c r="G95" s="112"/>
      <c r="H95" s="17"/>
      <c r="I95" s="17"/>
    </row>
    <row r="96" spans="3:14">
      <c r="C96" s="19"/>
      <c r="D96" s="19"/>
      <c r="E96" s="19"/>
      <c r="F96" s="17"/>
      <c r="G96" s="112"/>
      <c r="H96" s="17"/>
      <c r="I96" s="17"/>
    </row>
    <row r="97" spans="3:11" s="4" customFormat="1">
      <c r="C97" s="18"/>
      <c r="D97" s="18"/>
      <c r="E97" s="18"/>
      <c r="F97" s="22"/>
      <c r="G97" s="113"/>
      <c r="H97" s="22"/>
      <c r="I97" s="22"/>
      <c r="J97" s="111"/>
      <c r="K97" s="34"/>
    </row>
    <row r="98" spans="3:11">
      <c r="C98" s="19"/>
      <c r="D98" s="19"/>
      <c r="E98" s="19"/>
      <c r="F98" s="19"/>
      <c r="H98" s="17"/>
      <c r="I98" s="17"/>
    </row>
    <row r="99" spans="3:11">
      <c r="C99" s="19"/>
      <c r="D99" s="19"/>
      <c r="E99" s="19"/>
      <c r="F99" s="19"/>
      <c r="H99" s="17"/>
      <c r="I99" s="1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P39"/>
  <sheetViews>
    <sheetView topLeftCell="C16" workbookViewId="0">
      <selection activeCell="E17" sqref="E17"/>
    </sheetView>
  </sheetViews>
  <sheetFormatPr baseColWidth="10" defaultColWidth="11" defaultRowHeight="15" x14ac:dyDescent="0"/>
  <cols>
    <col min="1" max="1" width="19.5" bestFit="1" customWidth="1"/>
    <col min="3" max="3" width="11" style="45"/>
    <col min="4" max="4" width="12" style="45" bestFit="1" customWidth="1"/>
    <col min="5" max="6" width="11" style="46"/>
    <col min="7" max="7" width="11" style="47"/>
    <col min="8" max="8" width="12.1640625" customWidth="1"/>
    <col min="10" max="10" width="17.5" customWidth="1"/>
    <col min="11" max="11" width="13" bestFit="1" customWidth="1"/>
  </cols>
  <sheetData>
    <row r="6" spans="1:16" ht="16" thickBot="1">
      <c r="B6">
        <v>2016</v>
      </c>
      <c r="H6" s="4">
        <v>2015</v>
      </c>
    </row>
    <row r="7" spans="1:16" ht="31" thickBot="1">
      <c r="A7" s="48"/>
      <c r="B7" s="48" t="s">
        <v>237</v>
      </c>
      <c r="C7" s="49" t="s">
        <v>238</v>
      </c>
      <c r="D7" s="49" t="s">
        <v>239</v>
      </c>
      <c r="E7" s="46" t="s">
        <v>240</v>
      </c>
      <c r="F7" s="46" t="s">
        <v>241</v>
      </c>
      <c r="G7" s="50"/>
      <c r="H7" s="51" t="s">
        <v>68</v>
      </c>
      <c r="I7" s="51" t="s">
        <v>69</v>
      </c>
      <c r="J7" s="52" t="s">
        <v>70</v>
      </c>
      <c r="K7" s="53" t="s">
        <v>242</v>
      </c>
      <c r="L7" s="54" t="s">
        <v>243</v>
      </c>
      <c r="O7" s="4" t="s">
        <v>244</v>
      </c>
    </row>
    <row r="8" spans="1:16" ht="16" thickBot="1">
      <c r="A8" s="48" t="s">
        <v>245</v>
      </c>
      <c r="B8" s="55">
        <v>35000</v>
      </c>
      <c r="C8" s="56">
        <f>B8/B17*100</f>
        <v>2.3777173913043481</v>
      </c>
      <c r="D8" s="56">
        <f t="shared" ref="D8" si="0">(C8*0.01)*4625</f>
        <v>109.96942934782611</v>
      </c>
      <c r="E8" s="57">
        <v>120</v>
      </c>
      <c r="F8" s="57">
        <v>120</v>
      </c>
      <c r="G8" s="58"/>
      <c r="I8" s="51"/>
      <c r="J8" s="52"/>
      <c r="K8" s="53">
        <v>120</v>
      </c>
      <c r="L8" s="59"/>
      <c r="M8" t="s">
        <v>246</v>
      </c>
      <c r="O8" s="4"/>
    </row>
    <row r="9" spans="1:16" ht="16" thickBot="1">
      <c r="A9" s="48" t="s">
        <v>247</v>
      </c>
      <c r="B9" s="55">
        <v>32000</v>
      </c>
      <c r="C9" s="56">
        <f>B9/B17*100</f>
        <v>2.1739130434782608</v>
      </c>
      <c r="D9" s="56">
        <f>(C9*0.01)*4625</f>
        <v>100.54347826086956</v>
      </c>
      <c r="E9" s="57">
        <v>120</v>
      </c>
      <c r="F9" s="57">
        <v>120</v>
      </c>
      <c r="G9" s="58"/>
      <c r="I9" s="51"/>
      <c r="J9" s="52"/>
      <c r="K9" s="53">
        <v>120</v>
      </c>
      <c r="L9" s="59"/>
      <c r="M9" t="s">
        <v>246</v>
      </c>
      <c r="O9" s="4"/>
    </row>
    <row r="10" spans="1:16" ht="16" thickBot="1">
      <c r="A10" s="60" t="s">
        <v>72</v>
      </c>
      <c r="B10" s="61">
        <v>75000</v>
      </c>
      <c r="C10" s="62">
        <f>B10/B17*100</f>
        <v>5.0951086956521738</v>
      </c>
      <c r="D10" s="56">
        <f>(C10*0.01)*4625</f>
        <v>235.64877717391303</v>
      </c>
      <c r="E10" s="46">
        <v>286</v>
      </c>
      <c r="F10" s="46">
        <f>D10+50</f>
        <v>285.648777173913</v>
      </c>
      <c r="G10" s="63"/>
      <c r="H10" s="64">
        <v>73832</v>
      </c>
      <c r="I10" s="65">
        <v>6.53</v>
      </c>
      <c r="J10" s="66">
        <v>262.81299999999999</v>
      </c>
      <c r="K10" s="66">
        <v>262.81299999999999</v>
      </c>
      <c r="L10" s="67"/>
      <c r="M10" t="s">
        <v>246</v>
      </c>
    </row>
    <row r="11" spans="1:16" ht="16" thickBot="1">
      <c r="A11" s="60" t="s">
        <v>71</v>
      </c>
      <c r="B11" s="55">
        <v>85000</v>
      </c>
      <c r="C11" s="62">
        <f>B11/B17*100</f>
        <v>5.7744565217391308</v>
      </c>
      <c r="D11" s="56">
        <f t="shared" ref="D11:D16" si="1">(C11*0.01)*4625</f>
        <v>267.06861413043481</v>
      </c>
      <c r="E11" s="46">
        <v>317</v>
      </c>
      <c r="G11" s="63"/>
      <c r="H11" s="64">
        <v>83936</v>
      </c>
      <c r="I11" s="65">
        <v>7.42</v>
      </c>
      <c r="J11" s="66">
        <v>298.78100000000001</v>
      </c>
      <c r="K11" s="66">
        <v>298.78100000000001</v>
      </c>
      <c r="L11" s="67"/>
      <c r="M11" t="s">
        <v>246</v>
      </c>
      <c r="P11" s="68"/>
    </row>
    <row r="12" spans="1:16" ht="16" thickBot="1">
      <c r="A12" s="60" t="s">
        <v>74</v>
      </c>
      <c r="B12" s="55">
        <v>95000</v>
      </c>
      <c r="C12" s="62">
        <f>B12/B17*100</f>
        <v>6.453804347826086</v>
      </c>
      <c r="D12" s="56">
        <f>(C12*0.01)*4625</f>
        <v>298.4884510869565</v>
      </c>
      <c r="E12" s="46">
        <v>348</v>
      </c>
      <c r="F12" s="46">
        <f>D12+50</f>
        <v>348.4884510869565</v>
      </c>
      <c r="G12" s="63"/>
      <c r="H12" s="64">
        <v>93603</v>
      </c>
      <c r="I12" s="65">
        <v>8.2799999999999994</v>
      </c>
      <c r="J12" s="66">
        <v>333.19099999999997</v>
      </c>
      <c r="K12" s="66">
        <v>333.19099999999997</v>
      </c>
      <c r="L12" s="67"/>
      <c r="M12" t="s">
        <v>246</v>
      </c>
    </row>
    <row r="13" spans="1:16" ht="16" thickBot="1">
      <c r="A13" s="60" t="s">
        <v>73</v>
      </c>
      <c r="B13" s="55">
        <v>100000</v>
      </c>
      <c r="C13" s="62">
        <f>B13/B17*100</f>
        <v>6.7934782608695645</v>
      </c>
      <c r="D13" s="56">
        <f t="shared" si="1"/>
        <v>314.19836956521738</v>
      </c>
      <c r="E13" s="46">
        <v>364</v>
      </c>
      <c r="G13" s="63"/>
      <c r="H13" s="64">
        <v>103684</v>
      </c>
      <c r="I13" s="65">
        <v>9.17</v>
      </c>
      <c r="J13" s="66">
        <v>369.07499999999999</v>
      </c>
      <c r="K13" s="66">
        <v>369.07499999999999</v>
      </c>
      <c r="L13" s="67"/>
      <c r="M13" t="s">
        <v>246</v>
      </c>
    </row>
    <row r="14" spans="1:16" ht="16" thickBot="1">
      <c r="A14" s="60" t="s">
        <v>75</v>
      </c>
      <c r="B14" s="55">
        <v>350000</v>
      </c>
      <c r="C14" s="62">
        <f>B14/B17*100</f>
        <v>23.777173913043477</v>
      </c>
      <c r="D14" s="56">
        <f t="shared" si="1"/>
        <v>1099.694293478261</v>
      </c>
      <c r="E14" s="46">
        <v>1071</v>
      </c>
      <c r="G14" s="63"/>
      <c r="H14" s="64">
        <v>250417</v>
      </c>
      <c r="I14" s="65">
        <v>22.15</v>
      </c>
      <c r="J14" s="66">
        <v>891.39200000000005</v>
      </c>
      <c r="K14" s="66">
        <v>891.39200000000005</v>
      </c>
      <c r="L14" s="67"/>
      <c r="M14" t="s">
        <v>246</v>
      </c>
    </row>
    <row r="15" spans="1:16" ht="16" thickBot="1">
      <c r="A15" s="60" t="s">
        <v>76</v>
      </c>
      <c r="B15" s="55">
        <v>250000</v>
      </c>
      <c r="C15" s="62">
        <f>B15/B17*100</f>
        <v>16.983695652173914</v>
      </c>
      <c r="D15" s="56">
        <f t="shared" si="1"/>
        <v>785.4959239130435</v>
      </c>
      <c r="E15" s="46">
        <v>765</v>
      </c>
      <c r="G15" s="63"/>
      <c r="H15" s="64">
        <v>115293</v>
      </c>
      <c r="I15" s="65">
        <v>10.199999999999999</v>
      </c>
      <c r="J15" s="66">
        <v>410.4</v>
      </c>
      <c r="K15" s="66">
        <v>410.4</v>
      </c>
      <c r="L15" s="67"/>
      <c r="M15" t="s">
        <v>246</v>
      </c>
    </row>
    <row r="16" spans="1:16" ht="16" thickBot="1">
      <c r="A16" s="60" t="s">
        <v>77</v>
      </c>
      <c r="B16" s="55">
        <v>450000</v>
      </c>
      <c r="C16" s="62">
        <f>B16/B17*100</f>
        <v>30.570652173913043</v>
      </c>
      <c r="D16" s="56">
        <f t="shared" si="1"/>
        <v>1413.8926630434783</v>
      </c>
      <c r="E16" s="46">
        <v>1376</v>
      </c>
      <c r="G16" s="63"/>
      <c r="H16" s="64">
        <v>446832</v>
      </c>
      <c r="I16" s="65">
        <v>39.520000000000003</v>
      </c>
      <c r="J16" s="66">
        <v>1590.5540000000001</v>
      </c>
      <c r="K16" s="66">
        <v>1590.5540000000001</v>
      </c>
      <c r="L16" s="67"/>
      <c r="M16" t="s">
        <v>246</v>
      </c>
    </row>
    <row r="17" spans="1:13" ht="16" thickBot="1">
      <c r="A17" s="51" t="s">
        <v>78</v>
      </c>
      <c r="B17" s="69">
        <f>SUM(B8:B16)</f>
        <v>1472000</v>
      </c>
      <c r="C17" s="70">
        <f>SUM(C8:C16)</f>
        <v>100</v>
      </c>
      <c r="D17" s="70"/>
      <c r="E17" s="71">
        <f>SUM(E8:E16)</f>
        <v>4767</v>
      </c>
      <c r="F17" s="71">
        <f>SUM(F8:F16)</f>
        <v>874.13722826086951</v>
      </c>
      <c r="G17" s="72"/>
      <c r="H17" s="69">
        <f>SUM(H9:H16)</f>
        <v>1167597</v>
      </c>
      <c r="I17" s="51"/>
      <c r="J17" s="73"/>
      <c r="K17" s="73">
        <f>SUM(K11:K16)</f>
        <v>3893.393</v>
      </c>
      <c r="L17" s="74">
        <f>SUM(L11:L16)</f>
        <v>0</v>
      </c>
    </row>
    <row r="18" spans="1:13" ht="16" thickBot="1">
      <c r="A18" s="60"/>
      <c r="B18" s="75"/>
      <c r="C18" s="76"/>
      <c r="D18" s="76"/>
      <c r="E18" s="77"/>
      <c r="F18" s="77"/>
      <c r="G18" s="78"/>
      <c r="H18" s="65"/>
      <c r="I18" s="60"/>
      <c r="J18" s="79"/>
      <c r="K18" s="75"/>
      <c r="L18" s="80"/>
    </row>
    <row r="19" spans="1:13" ht="16" thickBot="1">
      <c r="A19" s="81" t="s">
        <v>248</v>
      </c>
      <c r="B19" s="61">
        <v>1000000</v>
      </c>
      <c r="C19" s="76"/>
      <c r="D19" s="76"/>
      <c r="E19" s="77"/>
      <c r="F19" s="77"/>
      <c r="G19" s="78"/>
      <c r="H19" s="55">
        <v>1000000</v>
      </c>
      <c r="I19" s="60"/>
      <c r="J19" s="82"/>
      <c r="K19" s="60"/>
      <c r="L19" s="80"/>
    </row>
    <row r="20" spans="1:13" ht="16" thickBot="1">
      <c r="A20" s="60"/>
      <c r="B20" s="75"/>
      <c r="C20" s="76"/>
      <c r="D20" s="76"/>
      <c r="E20" s="77"/>
      <c r="F20" s="77"/>
      <c r="G20" s="78"/>
      <c r="H20" s="60"/>
      <c r="I20" s="60"/>
      <c r="J20" s="79"/>
      <c r="K20" s="75"/>
      <c r="L20" s="67"/>
    </row>
    <row r="21" spans="1:13" ht="16" thickBot="1">
      <c r="A21" s="60"/>
      <c r="B21" s="75"/>
      <c r="C21" s="76"/>
      <c r="D21" s="76"/>
      <c r="E21" s="77"/>
      <c r="F21" s="77"/>
      <c r="G21" s="78"/>
      <c r="H21" s="60"/>
      <c r="I21" s="60"/>
      <c r="J21" s="66"/>
      <c r="K21" s="65"/>
      <c r="L21" s="80"/>
    </row>
    <row r="22" spans="1:13" ht="16" thickBot="1">
      <c r="A22" s="60"/>
      <c r="B22" s="75"/>
      <c r="C22" s="76"/>
      <c r="D22" s="76"/>
      <c r="E22" s="77"/>
      <c r="F22" s="77"/>
      <c r="G22" s="78"/>
      <c r="H22" s="60"/>
      <c r="I22" s="60"/>
      <c r="J22" s="79"/>
      <c r="K22" s="75"/>
      <c r="L22" s="80"/>
    </row>
    <row r="23" spans="1:13" ht="16" thickBot="1">
      <c r="A23" s="60"/>
      <c r="B23" s="75"/>
      <c r="C23" s="76"/>
      <c r="D23" s="76"/>
      <c r="E23" s="77"/>
      <c r="F23" s="77"/>
      <c r="G23" s="78"/>
      <c r="H23" s="60"/>
      <c r="I23" s="60"/>
      <c r="J23" s="79"/>
      <c r="K23" s="75"/>
      <c r="L23" s="80"/>
    </row>
    <row r="24" spans="1:13" ht="16" thickBot="1">
      <c r="A24" s="51" t="s">
        <v>79</v>
      </c>
      <c r="B24" s="75"/>
      <c r="C24" s="76"/>
      <c r="D24" s="76"/>
      <c r="E24" s="77"/>
      <c r="F24" s="77"/>
      <c r="G24" s="78"/>
      <c r="H24" s="60"/>
      <c r="I24" s="60"/>
      <c r="J24" s="79"/>
      <c r="K24" s="75"/>
      <c r="L24" s="80"/>
    </row>
    <row r="25" spans="1:13" ht="46" thickBot="1">
      <c r="A25" s="60" t="s">
        <v>80</v>
      </c>
      <c r="B25" s="83">
        <v>2640</v>
      </c>
      <c r="C25" s="76"/>
      <c r="D25" s="76"/>
      <c r="E25" s="77"/>
      <c r="F25" s="77"/>
      <c r="G25" s="78"/>
      <c r="H25" s="83">
        <v>2640</v>
      </c>
      <c r="I25" s="60"/>
      <c r="J25" s="79"/>
      <c r="K25" s="75"/>
      <c r="L25" s="80"/>
    </row>
    <row r="26" spans="1:13" ht="16" thickBot="1">
      <c r="A26" s="60" t="s">
        <v>81</v>
      </c>
      <c r="B26" s="76">
        <f>F17*0.07</f>
        <v>61.189605978260872</v>
      </c>
      <c r="C26" s="76"/>
      <c r="D26" s="76"/>
      <c r="H26" s="83">
        <f>K17*0.07</f>
        <v>272.53751000000005</v>
      </c>
      <c r="I26" s="60"/>
      <c r="J26" s="79"/>
      <c r="K26" s="79"/>
      <c r="L26" s="80"/>
    </row>
    <row r="27" spans="1:13" ht="16" thickBot="1">
      <c r="A27" s="60" t="s">
        <v>249</v>
      </c>
      <c r="B27" s="49">
        <f>(B17-B19)*0.0022</f>
        <v>1038.4000000000001</v>
      </c>
      <c r="H27" s="83">
        <v>1019.29</v>
      </c>
      <c r="I27" s="60"/>
      <c r="J27" s="79"/>
      <c r="K27" s="75"/>
      <c r="L27" s="80"/>
    </row>
    <row r="28" spans="1:13" ht="16" thickBot="1">
      <c r="A28" s="60" t="s">
        <v>250</v>
      </c>
      <c r="B28" s="49">
        <v>1200</v>
      </c>
      <c r="H28" s="80">
        <v>0</v>
      </c>
      <c r="I28" s="60"/>
      <c r="J28" s="79"/>
      <c r="K28" s="75"/>
      <c r="L28" s="80"/>
      <c r="M28">
        <f>25%*4625</f>
        <v>1156.25</v>
      </c>
    </row>
    <row r="29" spans="1:13" ht="16" thickBot="1">
      <c r="A29" s="48"/>
      <c r="H29" s="48"/>
      <c r="I29" s="60"/>
      <c r="J29" s="84"/>
      <c r="K29" s="48"/>
      <c r="L29" s="54"/>
    </row>
    <row r="30" spans="1:13" ht="16" thickBot="1">
      <c r="A30" s="85" t="s">
        <v>251</v>
      </c>
      <c r="B30" s="86">
        <f>SUM(B25:B28)</f>
        <v>4939.5896059782608</v>
      </c>
      <c r="C30" s="87"/>
      <c r="D30" s="87"/>
      <c r="E30" s="88"/>
      <c r="F30" s="88"/>
      <c r="G30" s="89"/>
      <c r="H30" s="86">
        <f>SUM(H25:H28)</f>
        <v>3931.8275100000001</v>
      </c>
      <c r="I30" s="60"/>
      <c r="J30" s="84"/>
      <c r="K30" s="49"/>
      <c r="L30" s="54"/>
    </row>
    <row r="31" spans="1:13">
      <c r="A31" s="85"/>
      <c r="B31" s="86"/>
      <c r="C31" s="87"/>
      <c r="D31" s="87"/>
      <c r="E31" s="88"/>
      <c r="F31" s="88"/>
      <c r="G31" s="89"/>
      <c r="H31" s="86"/>
      <c r="I31" s="90"/>
      <c r="J31" s="84"/>
      <c r="K31" s="48"/>
      <c r="L31" s="54"/>
    </row>
    <row r="32" spans="1:13">
      <c r="A32" s="85" t="s">
        <v>252</v>
      </c>
      <c r="B32" s="86">
        <f>F17-B30</f>
        <v>-4065.4523777173913</v>
      </c>
      <c r="C32" s="87"/>
      <c r="D32" s="87"/>
      <c r="E32" s="88"/>
      <c r="F32" s="88"/>
      <c r="G32" s="89"/>
      <c r="H32" s="86">
        <f>K17-H30</f>
        <v>-38.434510000000046</v>
      </c>
      <c r="I32" s="90"/>
      <c r="J32" s="84"/>
      <c r="K32" s="84"/>
      <c r="L32" s="54"/>
    </row>
    <row r="34" spans="1:9">
      <c r="A34" t="s">
        <v>253</v>
      </c>
    </row>
    <row r="35" spans="1:9">
      <c r="A35" t="s">
        <v>254</v>
      </c>
    </row>
    <row r="38" spans="1:9">
      <c r="I38" t="s">
        <v>255</v>
      </c>
    </row>
    <row r="39" spans="1:9">
      <c r="I39" t="s">
        <v>256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K61"/>
  <sheetViews>
    <sheetView workbookViewId="0">
      <selection activeCell="F33" sqref="F33"/>
    </sheetView>
  </sheetViews>
  <sheetFormatPr baseColWidth="10" defaultColWidth="10.83203125" defaultRowHeight="15" x14ac:dyDescent="0"/>
  <cols>
    <col min="1" max="1" width="9.5" style="27" bestFit="1" customWidth="1"/>
    <col min="2" max="2" width="22.33203125" style="9" bestFit="1" customWidth="1"/>
    <col min="3" max="3" width="16.83203125" style="9" bestFit="1" customWidth="1"/>
    <col min="4" max="4" width="13" style="9" customWidth="1"/>
    <col min="5" max="5" width="12.1640625" style="9" bestFit="1" customWidth="1"/>
    <col min="6" max="6" width="13.6640625" style="9" bestFit="1" customWidth="1"/>
    <col min="7" max="7" width="28.33203125" style="9" bestFit="1" customWidth="1"/>
    <col min="8" max="8" width="29.5" style="9" bestFit="1" customWidth="1"/>
    <col min="9" max="9" width="14" style="27" customWidth="1"/>
    <col min="10" max="10" width="13.1640625" style="10" customWidth="1"/>
    <col min="11" max="16384" width="10.83203125" style="9"/>
  </cols>
  <sheetData>
    <row r="3" spans="1:11">
      <c r="A3" s="26" t="s">
        <v>177</v>
      </c>
    </row>
    <row r="5" spans="1:11" s="8" customFormat="1">
      <c r="A5" s="26"/>
      <c r="B5" s="8" t="s">
        <v>82</v>
      </c>
      <c r="C5" s="8" t="s">
        <v>83</v>
      </c>
      <c r="F5" s="8" t="s">
        <v>84</v>
      </c>
      <c r="G5" s="8" t="s">
        <v>85</v>
      </c>
      <c r="H5" s="8" t="s">
        <v>86</v>
      </c>
      <c r="I5" s="26" t="s">
        <v>322</v>
      </c>
      <c r="J5" s="10" t="s">
        <v>178</v>
      </c>
    </row>
    <row r="6" spans="1:11" s="8" customFormat="1">
      <c r="A6" s="26" t="s">
        <v>87</v>
      </c>
      <c r="B6" s="8" t="s">
        <v>20</v>
      </c>
      <c r="C6" s="8" t="s">
        <v>88</v>
      </c>
      <c r="D6" s="8" t="s">
        <v>89</v>
      </c>
      <c r="E6" s="4" t="s">
        <v>326</v>
      </c>
      <c r="G6" s="11" t="s">
        <v>90</v>
      </c>
      <c r="I6" s="117">
        <v>5652</v>
      </c>
      <c r="J6" s="10">
        <v>6165</v>
      </c>
      <c r="K6" s="8" t="s">
        <v>356</v>
      </c>
    </row>
    <row r="7" spans="1:11" s="8" customFormat="1">
      <c r="A7" s="26"/>
      <c r="E7" s="4"/>
      <c r="G7" s="11"/>
      <c r="I7" s="119">
        <v>3230</v>
      </c>
      <c r="J7" s="10"/>
      <c r="K7" s="8" t="s">
        <v>357</v>
      </c>
    </row>
    <row r="8" spans="1:11" s="8" customFormat="1">
      <c r="A8" s="26"/>
      <c r="E8" s="4"/>
      <c r="G8" s="11"/>
      <c r="I8" s="117">
        <f>SUM(I6:I7)</f>
        <v>8882</v>
      </c>
      <c r="J8" s="10"/>
      <c r="K8" s="8" t="s">
        <v>358</v>
      </c>
    </row>
    <row r="9" spans="1:11" s="8" customFormat="1">
      <c r="A9" s="26"/>
      <c r="E9" s="4"/>
      <c r="G9" s="11"/>
      <c r="I9" s="117"/>
      <c r="J9" s="10"/>
    </row>
    <row r="10" spans="1:11" s="8" customFormat="1">
      <c r="A10" s="26"/>
      <c r="E10" s="4"/>
      <c r="G10" s="11"/>
      <c r="I10" s="117"/>
      <c r="J10" s="10"/>
    </row>
    <row r="11" spans="1:11">
      <c r="A11" s="27">
        <v>1</v>
      </c>
      <c r="B11" s="8" t="s">
        <v>138</v>
      </c>
      <c r="C11" s="8" t="s">
        <v>139</v>
      </c>
      <c r="D11" s="9" t="s">
        <v>140</v>
      </c>
      <c r="E11" s="9" t="s">
        <v>141</v>
      </c>
      <c r="F11"/>
      <c r="G11" s="13" t="s">
        <v>142</v>
      </c>
      <c r="H11" t="s">
        <v>143</v>
      </c>
      <c r="I11" s="118"/>
      <c r="J11" s="10">
        <v>600</v>
      </c>
      <c r="K11" s="9" t="s">
        <v>179</v>
      </c>
    </row>
    <row r="12" spans="1:11">
      <c r="B12" s="8"/>
      <c r="C12" s="8"/>
      <c r="D12" s="9" t="s">
        <v>144</v>
      </c>
      <c r="E12" s="9" t="s">
        <v>145</v>
      </c>
      <c r="F12"/>
      <c r="G12" s="13" t="s">
        <v>146</v>
      </c>
      <c r="H12" t="s">
        <v>147</v>
      </c>
      <c r="I12" s="118"/>
    </row>
    <row r="13" spans="1:11">
      <c r="B13" s="8"/>
      <c r="C13" s="8"/>
      <c r="F13"/>
      <c r="G13" s="13"/>
      <c r="H13"/>
      <c r="I13" s="118"/>
    </row>
    <row r="14" spans="1:11">
      <c r="A14" s="27">
        <v>2</v>
      </c>
      <c r="B14" s="8" t="s">
        <v>91</v>
      </c>
      <c r="C14" s="8" t="s">
        <v>92</v>
      </c>
      <c r="G14" s="12" t="s">
        <v>93</v>
      </c>
      <c r="I14" s="119"/>
      <c r="J14" s="10">
        <v>600</v>
      </c>
      <c r="K14" s="9" t="s">
        <v>179</v>
      </c>
    </row>
    <row r="15" spans="1:11">
      <c r="C15" s="8" t="s">
        <v>94</v>
      </c>
      <c r="D15" s="9" t="s">
        <v>95</v>
      </c>
      <c r="E15" s="9" t="s">
        <v>96</v>
      </c>
      <c r="G15" t="s">
        <v>97</v>
      </c>
      <c r="I15" s="119"/>
    </row>
    <row r="16" spans="1:11">
      <c r="G16" s="12"/>
      <c r="I16" s="119"/>
    </row>
    <row r="17" spans="1:11">
      <c r="A17" s="27">
        <v>3</v>
      </c>
      <c r="B17" s="8" t="s">
        <v>104</v>
      </c>
      <c r="C17" s="8" t="s">
        <v>180</v>
      </c>
      <c r="D17" s="14" t="s">
        <v>105</v>
      </c>
      <c r="E17" s="123" t="s">
        <v>106</v>
      </c>
      <c r="F17" s="123"/>
      <c r="G17" s="16" t="s">
        <v>181</v>
      </c>
      <c r="I17" s="119"/>
      <c r="J17" s="10">
        <v>600</v>
      </c>
      <c r="K17" s="9" t="s">
        <v>179</v>
      </c>
    </row>
    <row r="18" spans="1:11">
      <c r="C18" s="8" t="s">
        <v>107</v>
      </c>
      <c r="D18" s="9" t="s">
        <v>108</v>
      </c>
      <c r="E18" s="15" t="s">
        <v>109</v>
      </c>
      <c r="F18" s="15"/>
      <c r="G18" s="15" t="s">
        <v>110</v>
      </c>
      <c r="I18" s="119"/>
    </row>
    <row r="19" spans="1:11">
      <c r="G19" s="12"/>
      <c r="I19" s="119"/>
    </row>
    <row r="20" spans="1:11">
      <c r="A20" s="27">
        <v>4</v>
      </c>
      <c r="B20" s="8" t="s">
        <v>111</v>
      </c>
      <c r="C20" s="8" t="s">
        <v>112</v>
      </c>
      <c r="D20" s="9" t="s">
        <v>113</v>
      </c>
      <c r="E20" s="9" t="s">
        <v>114</v>
      </c>
      <c r="G20" s="13" t="s">
        <v>115</v>
      </c>
      <c r="H20" t="s">
        <v>182</v>
      </c>
      <c r="I20" s="118"/>
      <c r="K20" s="9" t="s">
        <v>179</v>
      </c>
    </row>
    <row r="21" spans="1:11">
      <c r="C21" s="8" t="s">
        <v>116</v>
      </c>
      <c r="D21" s="9" t="s">
        <v>117</v>
      </c>
      <c r="E21" s="9" t="s">
        <v>118</v>
      </c>
      <c r="G21" s="12" t="s">
        <v>119</v>
      </c>
      <c r="H21" s="9" t="s">
        <v>183</v>
      </c>
      <c r="I21" s="119"/>
    </row>
    <row r="22" spans="1:11">
      <c r="C22" s="8"/>
      <c r="G22" s="12"/>
      <c r="I22" s="119"/>
    </row>
    <row r="23" spans="1:11">
      <c r="A23" s="27">
        <v>5</v>
      </c>
      <c r="B23" s="8" t="s">
        <v>184</v>
      </c>
      <c r="C23" s="8" t="s">
        <v>185</v>
      </c>
      <c r="D23" s="9" t="s">
        <v>186</v>
      </c>
      <c r="E23" s="9" t="s">
        <v>187</v>
      </c>
      <c r="F23" t="s">
        <v>188</v>
      </c>
      <c r="G23" s="13" t="s">
        <v>189</v>
      </c>
      <c r="H23" t="s">
        <v>190</v>
      </c>
      <c r="I23" s="118">
        <v>600</v>
      </c>
      <c r="J23" s="10">
        <v>600</v>
      </c>
      <c r="K23" s="9" t="s">
        <v>179</v>
      </c>
    </row>
    <row r="24" spans="1:11">
      <c r="C24" s="8"/>
      <c r="G24" s="12"/>
      <c r="H24" t="s">
        <v>191</v>
      </c>
      <c r="I24" s="118"/>
    </row>
    <row r="25" spans="1:11">
      <c r="C25" s="8"/>
      <c r="G25" s="12"/>
      <c r="H25" t="s">
        <v>192</v>
      </c>
      <c r="I25" s="118"/>
    </row>
    <row r="26" spans="1:11">
      <c r="C26" s="8"/>
      <c r="G26" s="12"/>
      <c r="H26" t="s">
        <v>193</v>
      </c>
      <c r="I26" s="118"/>
    </row>
    <row r="27" spans="1:11">
      <c r="C27" s="8"/>
      <c r="G27" s="12"/>
      <c r="H27"/>
      <c r="I27" s="118"/>
    </row>
    <row r="28" spans="1:11">
      <c r="A28" s="27">
        <v>6</v>
      </c>
      <c r="B28" s="8" t="s">
        <v>194</v>
      </c>
      <c r="C28" s="8" t="s">
        <v>195</v>
      </c>
      <c r="D28" s="9" t="s">
        <v>196</v>
      </c>
      <c r="E28" s="9" t="s">
        <v>197</v>
      </c>
      <c r="G28" t="s">
        <v>198</v>
      </c>
      <c r="H28" t="s">
        <v>199</v>
      </c>
      <c r="I28" s="118"/>
      <c r="J28" s="10">
        <v>600</v>
      </c>
      <c r="K28" s="9" t="s">
        <v>179</v>
      </c>
    </row>
    <row r="29" spans="1:11">
      <c r="B29" s="8"/>
      <c r="C29" s="8"/>
      <c r="G29"/>
      <c r="H29" t="s">
        <v>200</v>
      </c>
      <c r="I29" s="118"/>
    </row>
    <row r="30" spans="1:11">
      <c r="B30" s="8"/>
      <c r="C30" s="8"/>
      <c r="G30"/>
      <c r="H30" t="s">
        <v>201</v>
      </c>
      <c r="I30" s="118"/>
    </row>
    <row r="31" spans="1:11">
      <c r="C31" s="8"/>
      <c r="G31"/>
      <c r="H31" t="s">
        <v>202</v>
      </c>
      <c r="I31" s="118"/>
    </row>
    <row r="32" spans="1:11">
      <c r="C32" s="8"/>
      <c r="G32" s="12"/>
      <c r="I32" s="119"/>
    </row>
    <row r="33" spans="1:11">
      <c r="A33" s="27">
        <v>7</v>
      </c>
      <c r="B33" s="8" t="s">
        <v>130</v>
      </c>
      <c r="C33" s="8" t="s">
        <v>131</v>
      </c>
      <c r="D33" s="9" t="s">
        <v>132</v>
      </c>
      <c r="E33" s="9" t="s">
        <v>133</v>
      </c>
      <c r="G33" t="s">
        <v>134</v>
      </c>
      <c r="H33" t="s">
        <v>135</v>
      </c>
      <c r="I33" s="118"/>
      <c r="J33" s="10">
        <v>600</v>
      </c>
      <c r="K33" s="9" t="s">
        <v>179</v>
      </c>
    </row>
    <row r="34" spans="1:11">
      <c r="B34" s="8"/>
      <c r="C34" s="8"/>
      <c r="H34" t="s">
        <v>136</v>
      </c>
      <c r="I34" s="118"/>
    </row>
    <row r="35" spans="1:11">
      <c r="B35" s="8"/>
      <c r="C35" s="8"/>
      <c r="H35" t="s">
        <v>137</v>
      </c>
      <c r="I35" s="118"/>
    </row>
    <row r="36" spans="1:11">
      <c r="B36" s="8"/>
      <c r="C36" s="8"/>
      <c r="H36"/>
      <c r="I36" s="118"/>
    </row>
    <row r="37" spans="1:11">
      <c r="A37" s="27">
        <v>8</v>
      </c>
      <c r="B37" s="8" t="s">
        <v>98</v>
      </c>
      <c r="C37" s="8" t="s">
        <v>99</v>
      </c>
      <c r="D37" s="9" t="s">
        <v>100</v>
      </c>
      <c r="E37" s="9" t="s">
        <v>101</v>
      </c>
      <c r="F37" s="9" t="s">
        <v>102</v>
      </c>
      <c r="G37" s="13" t="s">
        <v>103</v>
      </c>
      <c r="H37" t="s">
        <v>203</v>
      </c>
      <c r="I37" s="118"/>
      <c r="J37" s="28"/>
      <c r="K37" s="9" t="s">
        <v>179</v>
      </c>
    </row>
    <row r="38" spans="1:11">
      <c r="B38" s="8"/>
      <c r="C38" s="8" t="s">
        <v>204</v>
      </c>
      <c r="D38" s="9" t="s">
        <v>205</v>
      </c>
      <c r="E38" s="9" t="s">
        <v>206</v>
      </c>
      <c r="F38" s="9" t="s">
        <v>102</v>
      </c>
      <c r="G38" s="9" t="s">
        <v>207</v>
      </c>
      <c r="H38" t="s">
        <v>208</v>
      </c>
      <c r="I38" s="118"/>
    </row>
    <row r="39" spans="1:11">
      <c r="G39" s="12"/>
      <c r="H39" t="s">
        <v>209</v>
      </c>
      <c r="I39" s="118"/>
    </row>
    <row r="40" spans="1:11">
      <c r="G40" s="12"/>
      <c r="H40"/>
      <c r="I40" s="118"/>
    </row>
    <row r="41" spans="1:11">
      <c r="A41" s="27">
        <v>9</v>
      </c>
      <c r="B41" s="8" t="s">
        <v>120</v>
      </c>
      <c r="C41" s="8" t="s">
        <v>121</v>
      </c>
      <c r="D41" s="9" t="s">
        <v>122</v>
      </c>
      <c r="E41" s="9" t="s">
        <v>123</v>
      </c>
      <c r="F41" s="9" t="s">
        <v>124</v>
      </c>
      <c r="G41" s="12" t="s">
        <v>125</v>
      </c>
      <c r="I41" s="119"/>
      <c r="J41" s="44">
        <v>600</v>
      </c>
      <c r="K41" s="9" t="s">
        <v>179</v>
      </c>
    </row>
    <row r="42" spans="1:11">
      <c r="C42" s="8" t="s">
        <v>126</v>
      </c>
      <c r="D42" s="9" t="s">
        <v>127</v>
      </c>
      <c r="E42" s="9" t="s">
        <v>128</v>
      </c>
      <c r="G42" s="13" t="s">
        <v>129</v>
      </c>
      <c r="I42" s="119"/>
    </row>
    <row r="43" spans="1:11">
      <c r="I43" s="119"/>
    </row>
    <row r="44" spans="1:11">
      <c r="A44" s="27">
        <v>10</v>
      </c>
      <c r="B44" s="9" t="s">
        <v>295</v>
      </c>
      <c r="C44" s="9" t="s">
        <v>323</v>
      </c>
      <c r="D44" s="9" t="s">
        <v>324</v>
      </c>
      <c r="E44" s="9" t="s">
        <v>325</v>
      </c>
      <c r="I44" s="10">
        <v>600</v>
      </c>
      <c r="J44" s="10">
        <v>600</v>
      </c>
    </row>
    <row r="45" spans="1:11">
      <c r="I45" s="119"/>
    </row>
    <row r="46" spans="1:11">
      <c r="B46" s="9" t="s">
        <v>355</v>
      </c>
      <c r="I46" s="119"/>
      <c r="J46" s="10">
        <v>600</v>
      </c>
    </row>
    <row r="47" spans="1:11">
      <c r="I47" s="119"/>
    </row>
    <row r="48" spans="1:11">
      <c r="I48" s="119"/>
    </row>
    <row r="49" spans="1:10">
      <c r="I49" s="119"/>
    </row>
    <row r="50" spans="1:10">
      <c r="H50" s="9" t="s">
        <v>359</v>
      </c>
      <c r="I50" s="119">
        <f>SUM(I11:I46)</f>
        <v>1200</v>
      </c>
      <c r="J50" s="10">
        <f>SUM(J11:J45)</f>
        <v>4800</v>
      </c>
    </row>
    <row r="51" spans="1:10">
      <c r="I51" s="119"/>
    </row>
    <row r="52" spans="1:10">
      <c r="H52" s="9" t="s">
        <v>63</v>
      </c>
      <c r="I52" s="119">
        <f>I50-I8</f>
        <v>-7682</v>
      </c>
      <c r="J52" s="10">
        <f>J50-J6</f>
        <v>-1365</v>
      </c>
    </row>
    <row r="57" spans="1:10">
      <c r="A57" s="9"/>
      <c r="G57"/>
      <c r="J57" s="9"/>
    </row>
    <row r="58" spans="1:10">
      <c r="A58" s="9"/>
      <c r="G58"/>
      <c r="J58" s="9"/>
    </row>
    <row r="59" spans="1:10">
      <c r="A59" s="9"/>
      <c r="G59"/>
      <c r="J59" s="9"/>
    </row>
    <row r="60" spans="1:10">
      <c r="A60" s="9"/>
      <c r="G60"/>
      <c r="J60" s="9"/>
    </row>
    <row r="61" spans="1:10">
      <c r="A61" s="9"/>
      <c r="G61"/>
      <c r="J61" s="9"/>
    </row>
  </sheetData>
  <mergeCells count="1">
    <mergeCell ref="E17:F17"/>
  </mergeCells>
  <hyperlinks>
    <hyperlink ref="G41" r:id="rId1"/>
    <hyperlink ref="G21" r:id="rId2"/>
    <hyperlink ref="G14" r:id="rId3"/>
    <hyperlink ref="G6" r:id="rId4"/>
    <hyperlink ref="G20" r:id="rId5"/>
    <hyperlink ref="G37" r:id="rId6"/>
    <hyperlink ref="G17" r:id="rId7"/>
    <hyperlink ref="G12" r:id="rId8"/>
    <hyperlink ref="G23" r:id="rId9"/>
    <hyperlink ref="G42" r:id="rId10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"/>
  <sheetViews>
    <sheetView workbookViewId="0">
      <selection activeCell="H52" sqref="H52"/>
    </sheetView>
  </sheetViews>
  <sheetFormatPr baseColWidth="10" defaultColWidth="11" defaultRowHeight="15" x14ac:dyDescent="0"/>
  <sheetData>
    <row r="1" spans="1:1">
      <c r="A1" t="s">
        <v>319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Full 2016 budget</vt:lpstr>
      <vt:lpstr>Conference</vt:lpstr>
      <vt:lpstr>Metrics Project</vt:lpstr>
      <vt:lpstr>Media Policy</vt:lpstr>
      <vt:lpstr>What Counts</vt:lpstr>
      <vt:lpstr>Vocus</vt:lpstr>
      <vt:lpstr>Chartbeat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2015-03-06T18:08:38Z</dcterms:created>
  <dcterms:modified xsi:type="dcterms:W3CDTF">2017-03-23T16:01:33Z</dcterms:modified>
</cp:coreProperties>
</file>