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gkaiser\Dropbox\TMC\Finances\Budget\Budget 2015\"/>
    </mc:Choice>
  </mc:AlternateContent>
  <bookViews>
    <workbookView minimized="1" xWindow="7518" yWindow="720" windowWidth="22122" windowHeight="16482" tabRatio="500"/>
  </bookViews>
  <sheets>
    <sheet name="Final 2015 Budget" sheetId="1" r:id="rId1"/>
    <sheet name="Conference" sheetId="9" r:id="rId2"/>
    <sheet name="Metrics Project" sheetId="2" r:id="rId3"/>
    <sheet name="Media Policy" sheetId="3" r:id="rId4"/>
    <sheet name="What Counts" sheetId="4" r:id="rId5"/>
    <sheet name="Vocus" sheetId="7" r:id="rId6"/>
    <sheet name="Chartbeat" sheetId="8" r:id="rId7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3" i="9" l="1"/>
  <c r="G32" i="9"/>
  <c r="G40" i="9"/>
  <c r="G46" i="9"/>
  <c r="G55" i="9"/>
  <c r="G57" i="9"/>
  <c r="G59" i="9"/>
  <c r="G61" i="9"/>
  <c r="F23" i="9"/>
  <c r="F32" i="9"/>
  <c r="F40" i="9"/>
  <c r="F46" i="9"/>
  <c r="F55" i="9"/>
  <c r="F57" i="9"/>
  <c r="F59" i="9"/>
  <c r="F61" i="9"/>
  <c r="E59" i="9"/>
  <c r="E61" i="9"/>
  <c r="D19" i="9"/>
  <c r="D23" i="9"/>
  <c r="D32" i="9"/>
  <c r="B4" i="9"/>
  <c r="B11" i="9"/>
  <c r="B8" i="9"/>
  <c r="B12" i="9"/>
  <c r="I40" i="9"/>
  <c r="M25" i="9"/>
  <c r="O25" i="9"/>
  <c r="P25" i="9"/>
  <c r="O26" i="9"/>
  <c r="O27" i="9"/>
  <c r="D40" i="9"/>
  <c r="D46" i="9"/>
  <c r="D55" i="9"/>
  <c r="D57" i="9"/>
  <c r="D59" i="9"/>
  <c r="B18" i="9"/>
  <c r="D60" i="9"/>
  <c r="D61" i="9"/>
  <c r="C19" i="9"/>
  <c r="C23" i="9"/>
  <c r="C32" i="9"/>
  <c r="N25" i="9"/>
  <c r="N26" i="9"/>
  <c r="N27" i="9"/>
  <c r="C40" i="9"/>
  <c r="C46" i="9"/>
  <c r="C55" i="9"/>
  <c r="C57" i="9"/>
  <c r="C59" i="9"/>
  <c r="C60" i="9"/>
  <c r="C61" i="9"/>
  <c r="B16" i="9"/>
  <c r="B19" i="9"/>
  <c r="B23" i="9"/>
  <c r="B32" i="9"/>
  <c r="B46" i="9"/>
  <c r="B55" i="9"/>
  <c r="B57" i="9"/>
  <c r="B59" i="9"/>
  <c r="L26" i="9"/>
  <c r="L25" i="9"/>
  <c r="E22" i="9"/>
  <c r="D79" i="1"/>
  <c r="F9" i="3"/>
  <c r="F14" i="3"/>
  <c r="F18" i="3"/>
  <c r="F37" i="3"/>
  <c r="F46" i="3"/>
  <c r="F48" i="3"/>
  <c r="F51" i="3"/>
  <c r="F54" i="3"/>
  <c r="D11" i="1"/>
  <c r="D18" i="1"/>
  <c r="D30" i="1"/>
  <c r="D40" i="1"/>
  <c r="D42" i="1"/>
  <c r="D57" i="1"/>
  <c r="D60" i="1"/>
  <c r="D66" i="1"/>
  <c r="D85" i="1"/>
  <c r="D101" i="1"/>
  <c r="D115" i="1"/>
  <c r="D121" i="1"/>
  <c r="E37" i="3"/>
  <c r="E46" i="3"/>
  <c r="E48" i="3"/>
  <c r="K17" i="4"/>
  <c r="H26" i="4"/>
  <c r="H30" i="4"/>
  <c r="H32" i="4"/>
  <c r="B17" i="4"/>
  <c r="C10" i="4"/>
  <c r="D10" i="4"/>
  <c r="F10" i="4"/>
  <c r="C12" i="4"/>
  <c r="D12" i="4"/>
  <c r="F12" i="4"/>
  <c r="F17" i="4"/>
  <c r="B26" i="4"/>
  <c r="B27" i="4"/>
  <c r="B30" i="4"/>
  <c r="B32" i="4"/>
  <c r="M28" i="4"/>
  <c r="L17" i="4"/>
  <c r="H17" i="4"/>
  <c r="C11" i="4"/>
  <c r="C13" i="4"/>
  <c r="C14" i="4"/>
  <c r="C15" i="4"/>
  <c r="C16" i="4"/>
  <c r="E17" i="4"/>
  <c r="C8" i="4"/>
  <c r="C9" i="4"/>
  <c r="C17" i="4"/>
  <c r="D16" i="4"/>
  <c r="D15" i="4"/>
  <c r="D14" i="4"/>
  <c r="D13" i="4"/>
  <c r="D11" i="4"/>
  <c r="D9" i="4"/>
  <c r="D8" i="4"/>
  <c r="E11" i="1"/>
  <c r="E18" i="1"/>
  <c r="E30" i="1"/>
  <c r="E40" i="1"/>
  <c r="E42" i="1"/>
  <c r="E57" i="1"/>
  <c r="E60" i="1"/>
  <c r="E66" i="1"/>
  <c r="E79" i="1"/>
  <c r="E85" i="1"/>
  <c r="E101" i="1"/>
  <c r="E110" i="1"/>
  <c r="E115" i="1"/>
  <c r="E121" i="1"/>
  <c r="E8" i="2"/>
  <c r="E15" i="2"/>
  <c r="E17" i="2"/>
  <c r="E27" i="2"/>
  <c r="E31" i="2"/>
  <c r="E33" i="2"/>
  <c r="H48" i="3"/>
  <c r="H54" i="3"/>
  <c r="I45" i="7"/>
  <c r="F27" i="2"/>
  <c r="F8" i="2"/>
  <c r="F15" i="2"/>
  <c r="F17" i="2"/>
  <c r="F31" i="2"/>
  <c r="F33" i="2"/>
  <c r="E51" i="3"/>
</calcChain>
</file>

<file path=xl/sharedStrings.xml><?xml version="1.0" encoding="utf-8"?>
<sst xmlns="http://schemas.openxmlformats.org/spreadsheetml/2006/main" count="485" uniqueCount="402">
  <si>
    <t>Starting Grant Balance</t>
  </si>
  <si>
    <t>Starting Unrestricted</t>
  </si>
  <si>
    <t>Wallace Global</t>
  </si>
  <si>
    <t>Carried Over</t>
  </si>
  <si>
    <t>Starting Restricted</t>
  </si>
  <si>
    <t>MDF</t>
  </si>
  <si>
    <t>Voqal</t>
  </si>
  <si>
    <t>Donor</t>
  </si>
  <si>
    <t>Projected Unrestricted</t>
  </si>
  <si>
    <t>Projected Restricted</t>
  </si>
  <si>
    <t>Notes</t>
  </si>
  <si>
    <t>REVENUE</t>
  </si>
  <si>
    <t>GRANTS</t>
  </si>
  <si>
    <t>Sponsors</t>
  </si>
  <si>
    <t>EARNED</t>
  </si>
  <si>
    <t>Conf Reg (members)</t>
  </si>
  <si>
    <t>Conf Reg (non-members)</t>
  </si>
  <si>
    <t>Services (Vocus)</t>
  </si>
  <si>
    <t>Services (What Counts)</t>
  </si>
  <si>
    <t>Member Dues</t>
  </si>
  <si>
    <t>TMC</t>
  </si>
  <si>
    <t>TOTAL REVENUE</t>
  </si>
  <si>
    <t>Earmarked for 2015; arrived in 2014</t>
  </si>
  <si>
    <t>EXPENSE</t>
  </si>
  <si>
    <t>OVERHEAD</t>
  </si>
  <si>
    <t>Sponsorship Fee</t>
  </si>
  <si>
    <t>FNP takes 7% for HR, bookkeeping</t>
  </si>
  <si>
    <t>Personnel</t>
  </si>
  <si>
    <t>Personnel-FTE</t>
  </si>
  <si>
    <t>Benefits-FTW</t>
  </si>
  <si>
    <t>low because $$ going into 401k; no healthcare</t>
  </si>
  <si>
    <t>Contractor (Social Curator)</t>
  </si>
  <si>
    <t>Contractor (Website)</t>
  </si>
  <si>
    <t>Admin</t>
  </si>
  <si>
    <t>Office Rent</t>
  </si>
  <si>
    <t>Bank/Credit Fees</t>
  </si>
  <si>
    <t>Program</t>
  </si>
  <si>
    <t>Promotion</t>
  </si>
  <si>
    <t>Internet Access</t>
  </si>
  <si>
    <t>Website Fees</t>
  </si>
  <si>
    <t>Program (misc)</t>
  </si>
  <si>
    <t>Contractor Reimburse</t>
  </si>
  <si>
    <t>Legal</t>
  </si>
  <si>
    <t>Conferences</t>
  </si>
  <si>
    <t>Hardware/ Software Non-Cap</t>
  </si>
  <si>
    <t>Software Licensing</t>
  </si>
  <si>
    <t xml:space="preserve">Vocus </t>
  </si>
  <si>
    <t xml:space="preserve">What Counts </t>
  </si>
  <si>
    <t>Tools we use for programs: dropbox, basecamp, etc.</t>
  </si>
  <si>
    <t>Travel</t>
  </si>
  <si>
    <t>JGK travel</t>
  </si>
  <si>
    <t>Entertainment-Meals</t>
  </si>
  <si>
    <t>JGK pays for own access</t>
  </si>
  <si>
    <t>JGK virtual office</t>
  </si>
  <si>
    <t>Reg for conferences jgk attends</t>
  </si>
  <si>
    <t>PROJECTS</t>
  </si>
  <si>
    <t>Service Projects</t>
  </si>
  <si>
    <t>Compare to above (Earned 1714105)</t>
  </si>
  <si>
    <t>Events--Conference</t>
  </si>
  <si>
    <t>Events</t>
  </si>
  <si>
    <t>Website</t>
  </si>
  <si>
    <t>Office Supplies</t>
  </si>
  <si>
    <t>Postage</t>
  </si>
  <si>
    <t>Includes printing posters</t>
  </si>
  <si>
    <t>Events-Meals</t>
  </si>
  <si>
    <t>Restricted Projects-Metrics</t>
  </si>
  <si>
    <t>merger</t>
  </si>
  <si>
    <t>build new website</t>
  </si>
  <si>
    <t>Contractor (Facilitator)</t>
  </si>
  <si>
    <t>merger: retreat</t>
  </si>
  <si>
    <t>Member Capacity Building</t>
  </si>
  <si>
    <t>EEJF</t>
  </si>
  <si>
    <t>TOTAL EXPENSE</t>
  </si>
  <si>
    <t>Contingency</t>
  </si>
  <si>
    <t>BALANCE</t>
  </si>
  <si>
    <t>Contractor</t>
  </si>
  <si>
    <t>Metrics Project Budget 2015</t>
  </si>
  <si>
    <t>Project Restricted</t>
  </si>
  <si>
    <t>Total Revenue</t>
  </si>
  <si>
    <t>Contractor (contingency)</t>
  </si>
  <si>
    <t>Personnel (2014)</t>
  </si>
  <si>
    <t>Personnel (2015)</t>
  </si>
  <si>
    <t>correx--bookkeeping incorrect in 2014</t>
  </si>
  <si>
    <t>True Starting Balance</t>
  </si>
  <si>
    <t>This money is being rerouted to the Metrics Project from the Kauai project</t>
  </si>
  <si>
    <t>Subtotal New Revenue:</t>
  </si>
  <si>
    <t>subtotal</t>
  </si>
  <si>
    <t>Total Expense</t>
  </si>
  <si>
    <t>Balance</t>
  </si>
  <si>
    <t>metrics conference (reg+hotelx3+travel)</t>
  </si>
  <si>
    <t>To Operating Reserves</t>
  </si>
  <si>
    <t>(Kauai + Metrics)</t>
  </si>
  <si>
    <t>Provided on completion of experiments</t>
  </si>
  <si>
    <t>Ave. email/mo</t>
  </si>
  <si>
    <t>Percent</t>
  </si>
  <si>
    <t>Cost to Realm</t>
  </si>
  <si>
    <t>Geist</t>
  </si>
  <si>
    <t>IFEX</t>
  </si>
  <si>
    <t>NewInt</t>
  </si>
  <si>
    <t>rabble</t>
  </si>
  <si>
    <t>TheTyee</t>
  </si>
  <si>
    <t>Vancouver Observer</t>
  </si>
  <si>
    <t>Yes! Magazine</t>
  </si>
  <si>
    <t>Totals</t>
  </si>
  <si>
    <t xml:space="preserve">Cost Formula: </t>
  </si>
  <si>
    <t xml:space="preserve">What Counts 12 mo Contract (1M email/mo) </t>
  </si>
  <si>
    <t>FNP Charge (7%)</t>
  </si>
  <si>
    <t>Outlet</t>
  </si>
  <si>
    <t>Name</t>
  </si>
  <si>
    <t>phone</t>
  </si>
  <si>
    <t>email</t>
  </si>
  <si>
    <t>Address</t>
  </si>
  <si>
    <t>Purchaser</t>
  </si>
  <si>
    <t>Jo Ellen Kaiser</t>
  </si>
  <si>
    <t>Jkaiser</t>
  </si>
  <si>
    <t>tmc$12345</t>
  </si>
  <si>
    <t>joellen@themediaconsortium.com</t>
  </si>
  <si>
    <t>COST</t>
  </si>
  <si>
    <t>Care2</t>
  </si>
  <si>
    <t>Joe Baker</t>
  </si>
  <si>
    <t>joe@care2team.com</t>
  </si>
  <si>
    <t>Emily Logan</t>
  </si>
  <si>
    <t>Elogan</t>
  </si>
  <si>
    <t>care0003</t>
  </si>
  <si>
    <t>emily@care2team.com</t>
  </si>
  <si>
    <t>The Washington Monthly</t>
  </si>
  <si>
    <t>Carl Iseli</t>
  </si>
  <si>
    <t>Ciseli</t>
  </si>
  <si>
    <t>wamo0003</t>
  </si>
  <si>
    <t>202-955-9010</t>
  </si>
  <si>
    <t>carl@washingtonmonthly.com</t>
  </si>
  <si>
    <t>High Country News</t>
  </si>
  <si>
    <t>0002</t>
  </si>
  <si>
    <t>hcn0002</t>
  </si>
  <si>
    <t>JoAnn Kalenak</t>
  </si>
  <si>
    <t>JKalenak</t>
  </si>
  <si>
    <t>hcn0003</t>
  </si>
  <si>
    <t>joann@hcn.org</t>
  </si>
  <si>
    <t>In These Times</t>
  </si>
  <si>
    <t>Alex Lubben</t>
  </si>
  <si>
    <t>ALubben</t>
  </si>
  <si>
    <t>itt0003</t>
  </si>
  <si>
    <t>Alexlubben@gmail.com</t>
  </si>
  <si>
    <t>Miles Kampf-Lassin</t>
  </si>
  <si>
    <t>MKLassin</t>
  </si>
  <si>
    <t>itt0002</t>
  </si>
  <si>
    <t>miles@inthesetimes.org</t>
  </si>
  <si>
    <t>Yes!</t>
  </si>
  <si>
    <t>Susan Gleason</t>
  </si>
  <si>
    <t>SGleason</t>
  </si>
  <si>
    <t>yes0002</t>
  </si>
  <si>
    <t>206.931.2613</t>
  </si>
  <si>
    <t>sgleason@yesmagazine.org</t>
  </si>
  <si>
    <t>Rod Arakaki</t>
  </si>
  <si>
    <t>Rarakaki</t>
  </si>
  <si>
    <t>yes0003</t>
  </si>
  <si>
    <t>rarakaki@yesmagazine.org</t>
  </si>
  <si>
    <t>PNS</t>
  </si>
  <si>
    <t>Lark Corbeil</t>
  </si>
  <si>
    <t>LCorbeil</t>
  </si>
  <si>
    <t>pns0002</t>
  </si>
  <si>
    <t>lark@publicnewsservice.org</t>
  </si>
  <si>
    <t>3980 Broadway</t>
  </si>
  <si>
    <t>Suite 103 Box 139</t>
  </si>
  <si>
    <t>Boulder, CO 80304</t>
  </si>
  <si>
    <t>AAN</t>
  </si>
  <si>
    <t>Jason Zaragoza</t>
  </si>
  <si>
    <t>Jzaragoza</t>
  </si>
  <si>
    <t>aan0002</t>
  </si>
  <si>
    <t>jzaragoza@aan.org</t>
  </si>
  <si>
    <t>1156 15th Street, N.W., Suite 1005</t>
  </si>
  <si>
    <t>Tschackelford</t>
  </si>
  <si>
    <t>aan0003</t>
  </si>
  <si>
    <t>tshackelford@aan.org</t>
  </si>
  <si>
    <t>Washington, D.C. 20005</t>
  </si>
  <si>
    <t>Non-Paying Attendees</t>
  </si>
  <si>
    <t xml:space="preserve">  Exhibitors</t>
  </si>
  <si>
    <t xml:space="preserve">  Volunteers/Staff</t>
  </si>
  <si>
    <t>Paid Attendees</t>
  </si>
  <si>
    <t xml:space="preserve">  Non-Members (Full conf)</t>
  </si>
  <si>
    <t>Total Attendees</t>
  </si>
  <si>
    <t>Revenue</t>
  </si>
  <si>
    <t>Actual 2014</t>
  </si>
  <si>
    <t>Sponsorships</t>
  </si>
  <si>
    <t>Exhibitors</t>
  </si>
  <si>
    <t>Non-Member Meeting Fees</t>
  </si>
  <si>
    <t>Member Fees</t>
  </si>
  <si>
    <t>Restricted Donations</t>
  </si>
  <si>
    <t>Unrestricted Donations</t>
  </si>
  <si>
    <t>Expenses</t>
  </si>
  <si>
    <t>Event Rental</t>
  </si>
  <si>
    <t>Subtotal</t>
  </si>
  <si>
    <t>Meals &amp; Entertainment</t>
  </si>
  <si>
    <t>Thursday Meetings</t>
  </si>
  <si>
    <t>Friday Meetings</t>
  </si>
  <si>
    <t>Saturday AM Meetings</t>
  </si>
  <si>
    <t>Travel &amp; Hotel</t>
  </si>
  <si>
    <t xml:space="preserve">  Guest Speakers</t>
  </si>
  <si>
    <t xml:space="preserve">  Director Travel</t>
  </si>
  <si>
    <t>Supplies and Misc</t>
  </si>
  <si>
    <t xml:space="preserve">  Website</t>
  </si>
  <si>
    <t xml:space="preserve">  Supplies</t>
  </si>
  <si>
    <t xml:space="preserve">  Postage</t>
  </si>
  <si>
    <t>Total Expenses</t>
  </si>
  <si>
    <t>Cision</t>
  </si>
  <si>
    <t>Paid 2015*</t>
  </si>
  <si>
    <t>600/12 mos, shared seat</t>
  </si>
  <si>
    <t>Alexis Halbert</t>
  </si>
  <si>
    <t>alexishalbert@hcn.org</t>
  </si>
  <si>
    <t>2040 N Milwaukee Ave</t>
  </si>
  <si>
    <t xml:space="preserve"> Chicago IL 60647</t>
  </si>
  <si>
    <t>Nation Institute</t>
  </si>
  <si>
    <t>Roz Hunter</t>
  </si>
  <si>
    <t>Rhunter</t>
  </si>
  <si>
    <t>nin0002</t>
  </si>
  <si>
    <t>212-822-0250</t>
  </si>
  <si>
    <t>roz@nationinstitute.org</t>
  </si>
  <si>
    <t>The Nation Institute</t>
  </si>
  <si>
    <t>116 East 16th Street</t>
  </si>
  <si>
    <t>8th Floor</t>
  </si>
  <si>
    <t>New York, NY 10003</t>
  </si>
  <si>
    <t>Oximity</t>
  </si>
  <si>
    <t>Sanjay Goel</t>
  </si>
  <si>
    <t>Sgoel</t>
  </si>
  <si>
    <t>oxi0002</t>
  </si>
  <si>
    <t xml:space="preserve">sanjay.goel@oximity.com </t>
  </si>
  <si>
    <t>c/o JAG Shaw Baker</t>
  </si>
  <si>
    <t>33 St James’s Square</t>
  </si>
  <si>
    <t>London SW1Y 4JS</t>
  </si>
  <si>
    <t>United Kingdom</t>
  </si>
  <si>
    <t>1200 18th Street NW</t>
  </si>
  <si>
    <t>Matt Connolly</t>
  </si>
  <si>
    <t>Mconnolly</t>
  </si>
  <si>
    <t>wam0004</t>
  </si>
  <si>
    <t>mconnolly@washingtonmonthly.com</t>
  </si>
  <si>
    <t>Suite 330</t>
  </si>
  <si>
    <t>Washington, DC 20036</t>
  </si>
  <si>
    <t>Due 4/31/15</t>
  </si>
  <si>
    <t>Proposed 2015</t>
  </si>
  <si>
    <t>Member Capacity Building (Travel Grants)</t>
  </si>
  <si>
    <t>Member Capacity Building (Content Grants)</t>
  </si>
  <si>
    <t>Program -Merger Travel</t>
  </si>
  <si>
    <t>Actual 2015</t>
  </si>
  <si>
    <t>Contractor (Curriculum)</t>
  </si>
  <si>
    <t>Grant Allocated</t>
  </si>
  <si>
    <t>(Kaiser) to manage programs, work on strategic plan</t>
  </si>
  <si>
    <t>Earned</t>
  </si>
  <si>
    <t>Program Fees worksheet</t>
  </si>
  <si>
    <t>Full Registration Fee</t>
  </si>
  <si>
    <t>Scholarship Fee</t>
  </si>
  <si>
    <t>In-Kind</t>
  </si>
  <si>
    <t>Space</t>
  </si>
  <si>
    <t>Speaker Fees</t>
  </si>
  <si>
    <t>Program-Workshops</t>
  </si>
  <si>
    <t>Software Licensing (Phone Briefings)</t>
  </si>
  <si>
    <t>Travel (Project Managers)</t>
  </si>
  <si>
    <t>Sponsorship (Workshops)</t>
  </si>
  <si>
    <t>Program Fees (Workshops)</t>
  </si>
  <si>
    <t>Software (basecamp)</t>
  </si>
  <si>
    <t>Contractor (Webpage)</t>
  </si>
  <si>
    <t>Event (A/V)</t>
  </si>
  <si>
    <t>Travel (Speakers)</t>
  </si>
  <si>
    <t>Meals (coffee/snack at workshops)</t>
  </si>
  <si>
    <t>Reg Fees</t>
  </si>
  <si>
    <t>Discounted Fee</t>
  </si>
  <si>
    <t>Workshop Budget</t>
  </si>
  <si>
    <t>Quixote</t>
  </si>
  <si>
    <t>Travel to SF meeting June 8, 2015</t>
  </si>
  <si>
    <t>See Sheet</t>
  </si>
  <si>
    <t>Restricted Projects-Media Policy</t>
  </si>
  <si>
    <t>Program-Strategic Plan for Sector--coverd by MDF grant</t>
  </si>
  <si>
    <t>Cost for Kaiser to travel for merger</t>
  </si>
  <si>
    <t>slot open</t>
  </si>
  <si>
    <t xml:space="preserve">Media Policy </t>
  </si>
  <si>
    <t>add $840 (row 23) to get 13555</t>
  </si>
  <si>
    <t>See Project Worksheets --projects cover $35K of salary</t>
  </si>
  <si>
    <t>25,000 less FNP 7%</t>
  </si>
  <si>
    <t>final payment will come in Jan 2016</t>
  </si>
  <si>
    <t>2015 Approved</t>
  </si>
  <si>
    <t>Proposed but unfunded project 2015</t>
  </si>
  <si>
    <t>McCormick</t>
  </si>
  <si>
    <t>Other t/k</t>
  </si>
  <si>
    <t>(AAN took $$ in 2015)</t>
  </si>
  <si>
    <t>(AAN took these $$ in 2015)</t>
  </si>
  <si>
    <t>ave email/mo</t>
  </si>
  <si>
    <t>percent</t>
  </si>
  <si>
    <t>cost to TMC</t>
  </si>
  <si>
    <t>invoice</t>
  </si>
  <si>
    <t>Paid</t>
  </si>
  <si>
    <t>Invoice</t>
  </si>
  <si>
    <t>Paid?</t>
  </si>
  <si>
    <t>Interested</t>
  </si>
  <si>
    <t>FSRN</t>
  </si>
  <si>
    <t>s</t>
  </si>
  <si>
    <t>Waging Nonviolence</t>
  </si>
  <si>
    <t>Contracted Amount</t>
  </si>
  <si>
    <t>.22/1M overage</t>
  </si>
  <si>
    <t>TMC Admin</t>
  </si>
  <si>
    <t>Total Expense:</t>
  </si>
  <si>
    <t>TMC Balance</t>
  </si>
  <si>
    <t>Minimum is $10/month</t>
  </si>
  <si>
    <t>Outlets paying over $10/month pay an extra $50/year for consultant; exception this year for VO.</t>
  </si>
  <si>
    <t>The program has meant that we've been able to stay in touch with our supporters at an incredibly reasonable price. WhatCounts itself is reliable and "just works".</t>
  </si>
  <si>
    <t>Charlie Harvey, New Internationalist</t>
  </si>
  <si>
    <t>Current Metrics Project</t>
  </si>
  <si>
    <t>Use this to check against FNP actuals</t>
  </si>
  <si>
    <t>Current Balance</t>
  </si>
  <si>
    <t>(Our essentially operating cost is $150K. This gives us 4 months of reserves)</t>
  </si>
  <si>
    <t>Restricted Projects--Summits</t>
  </si>
  <si>
    <t>See  Sheet (Chicago Summit w/ McCormick; Future Summits?)</t>
  </si>
  <si>
    <t>Ba;ance = MDF restricted funds to be used in 2017 if awarded</t>
  </si>
  <si>
    <t>Travel-Speakers</t>
  </si>
  <si>
    <t>Travel-TMCSTAFF</t>
  </si>
  <si>
    <t>Grants to attend IRE workshop</t>
  </si>
  <si>
    <t>Grants for speaker travel to IRE workshop</t>
  </si>
  <si>
    <t>Kaiser to organize IRE workshop and webinars</t>
  </si>
  <si>
    <t>(FNP sponsorship fee 7%)</t>
  </si>
  <si>
    <t>Overhead</t>
  </si>
  <si>
    <t>Coffee at IRE workshop (MDF credited as sponsor)</t>
  </si>
  <si>
    <t>Still negotiating with IRE on whether we will ask for separate reg fee</t>
  </si>
  <si>
    <t>Services (Chartbeat)</t>
  </si>
  <si>
    <t>AAN is handling fees on this</t>
  </si>
  <si>
    <t>Contractor (Development)</t>
  </si>
  <si>
    <t>Events-Rooms</t>
  </si>
  <si>
    <t>Events-AV</t>
  </si>
  <si>
    <t>Contractor (Conf Manager)</t>
  </si>
  <si>
    <t>Contractor (race wkshop)</t>
  </si>
  <si>
    <t>Travel-Attendees (Grants)</t>
  </si>
  <si>
    <r>
      <t xml:space="preserve">2015 Actual </t>
    </r>
    <r>
      <rPr>
        <b/>
        <sz val="12"/>
        <color theme="1"/>
        <rFont val="Calibri"/>
        <family val="2"/>
        <scheme val="minor"/>
      </rPr>
      <t>FINAL</t>
    </r>
  </si>
  <si>
    <t>(8700 in Dec 2014; 3225 in Dec 2015)</t>
  </si>
  <si>
    <t>Contractor (see metrics)</t>
  </si>
  <si>
    <t>(2015 overlap with Teddy/Manolia)_</t>
  </si>
  <si>
    <t>9120.92 was deposit for 2016</t>
  </si>
  <si>
    <t>2016 Hotel deposit to be credited</t>
  </si>
  <si>
    <t>Events-Hotel</t>
  </si>
  <si>
    <t>Making Contact for BLM initiative</t>
  </si>
  <si>
    <t>1750/mo</t>
  </si>
  <si>
    <t>Race Forward (paid in 2016)</t>
  </si>
  <si>
    <t>Prepaid $15,780 for 2016 conference</t>
  </si>
  <si>
    <t>Proposal was not approved.</t>
  </si>
  <si>
    <t>AAN conference cost was much higher than anticipated</t>
  </si>
  <si>
    <t>2015 Annual Meeting Budget</t>
  </si>
  <si>
    <t>AAN-TMC</t>
  </si>
  <si>
    <t>Actual - TMC</t>
  </si>
  <si>
    <t xml:space="preserve">  Speakers/Guests</t>
  </si>
  <si>
    <t xml:space="preserve">  Non-Members (day rate)</t>
  </si>
  <si>
    <t xml:space="preserve">  Members</t>
  </si>
  <si>
    <t>AAN-TMC Budget</t>
  </si>
  <si>
    <t>AAN Budget 2015</t>
  </si>
  <si>
    <t>TMC Budget 2015</t>
  </si>
  <si>
    <t>Actual 2013</t>
  </si>
  <si>
    <t>full day=$250/perso; partial=$100/person</t>
  </si>
  <si>
    <t>AAN=$225/person; TMC=$75 ave/ person</t>
  </si>
  <si>
    <t>From TMC members</t>
  </si>
  <si>
    <t>Via Conference website</t>
  </si>
  <si>
    <t>Taken by AAN to Cover Costs</t>
  </si>
  <si>
    <t>Total</t>
  </si>
  <si>
    <t>AAN mem</t>
  </si>
  <si>
    <t>TMC mem</t>
  </si>
  <si>
    <t>Other</t>
  </si>
  <si>
    <t>Food/Bev</t>
  </si>
  <si>
    <t>Total Share</t>
  </si>
  <si>
    <t>Thursday Reception</t>
  </si>
  <si>
    <t>Reception</t>
  </si>
  <si>
    <t>Meeting Rooms</t>
  </si>
  <si>
    <t>Free with hotel block (2013)</t>
  </si>
  <si>
    <t>Fri Night Venue</t>
  </si>
  <si>
    <t>Party</t>
  </si>
  <si>
    <t>Event Rental Taxes</t>
  </si>
  <si>
    <t>Coffee Only, no Lunch provided</t>
  </si>
  <si>
    <t>Drinks for 50 @7.25/person</t>
  </si>
  <si>
    <t>AM Coffee, Lunch, PM Break</t>
  </si>
  <si>
    <t>Friday Party</t>
  </si>
  <si>
    <t>Beer/Snacks</t>
  </si>
  <si>
    <t>AM Coffee, Lunch</t>
  </si>
  <si>
    <t>per person=</t>
  </si>
  <si>
    <t>($1500 TMC, $500 AAN for Allison&amp;Jamie)</t>
  </si>
  <si>
    <t>hotel (800) plane (281) and cab (20)</t>
  </si>
  <si>
    <t xml:space="preserve">  Staff Travel</t>
  </si>
  <si>
    <t xml:space="preserve">  Volunteer Manager</t>
  </si>
  <si>
    <t>conference website (modelsmith)</t>
  </si>
  <si>
    <t>markers,nametags etc.</t>
  </si>
  <si>
    <t xml:space="preserve">  Printing</t>
  </si>
  <si>
    <t>baggage on plane vs mailing</t>
  </si>
  <si>
    <t xml:space="preserve">  Equipment Rental</t>
  </si>
  <si>
    <t>A/V--use non-member fees to cover $3K of this cost???</t>
  </si>
  <si>
    <t>Quixote Grant to Cover Costs</t>
  </si>
  <si>
    <t>Final Balance</t>
  </si>
  <si>
    <t>Assumptions</t>
  </si>
  <si>
    <t>90 TMC individuals (45-50 TMC orgs)</t>
  </si>
  <si>
    <t>200 AAN individuals (100 AAN orgs)</t>
  </si>
  <si>
    <t>20 exhibitors/sponsors</t>
  </si>
  <si>
    <t>20 speakers/guests</t>
  </si>
  <si>
    <t>15 non-members</t>
  </si>
  <si>
    <t>350 total attending conference</t>
  </si>
  <si>
    <t>200 at any one time at conference</t>
  </si>
  <si>
    <t>10am Coffee x Th, Fri, Sat</t>
  </si>
  <si>
    <t>12ish lunch box x Th, Fri</t>
  </si>
  <si>
    <t>3 ish coffee x Wed, Th, Fri</t>
  </si>
  <si>
    <t>evening receptions/parties X Th, Fri</t>
  </si>
  <si>
    <t>NOTE: We never were able to get a full accounting from AAN on their conference costs!!!</t>
  </si>
  <si>
    <t>AAN is handling Chartbeat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</si>
</sst>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&quot;$&quot;#,##0.00"/>
    <numFmt numFmtId="165" formatCode="&quot;$&quot;#,##0"/>
  </numFmts>
  <fonts count="2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0"/>
      <name val="Verdana"/>
      <family val="2"/>
    </font>
    <font>
      <u/>
      <sz val="10"/>
      <name val="Verdana"/>
      <family val="2"/>
    </font>
    <font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theme="1"/>
      <name val="Arial"/>
      <family val="2"/>
    </font>
    <font>
      <sz val="12"/>
      <color theme="3"/>
      <name val="Calibri"/>
      <family val="2"/>
      <scheme val="minor"/>
    </font>
    <font>
      <sz val="12"/>
      <color theme="3"/>
      <name val="Arial"/>
      <family val="2"/>
    </font>
    <font>
      <b/>
      <sz val="12"/>
      <color theme="1"/>
      <name val="Arial"/>
      <family val="2"/>
    </font>
    <font>
      <b/>
      <sz val="12"/>
      <color theme="3"/>
      <name val="Arial"/>
      <family val="2"/>
    </font>
    <font>
      <b/>
      <sz val="12"/>
      <name val="Calibri"/>
      <family val="2"/>
      <scheme val="minor"/>
    </font>
    <font>
      <sz val="10"/>
      <name val="Verdana"/>
      <family val="2"/>
    </font>
    <font>
      <sz val="12"/>
      <color theme="7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06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50">
    <xf numFmtId="0" fontId="0" fillId="0" borderId="0" xfId="0"/>
    <xf numFmtId="4" fontId="0" fillId="0" borderId="0" xfId="0" applyNumberFormat="1"/>
    <xf numFmtId="164" fontId="4" fillId="0" borderId="0" xfId="0" applyNumberFormat="1" applyFont="1"/>
    <xf numFmtId="164" fontId="0" fillId="0" borderId="0" xfId="0" applyNumberFormat="1"/>
    <xf numFmtId="164" fontId="3" fillId="0" borderId="0" xfId="0" applyNumberFormat="1" applyFont="1"/>
    <xf numFmtId="164" fontId="2" fillId="0" borderId="0" xfId="0" applyNumberFormat="1" applyFont="1"/>
    <xf numFmtId="164" fontId="7" fillId="0" borderId="0" xfId="0" applyNumberFormat="1" applyFont="1"/>
    <xf numFmtId="0" fontId="3" fillId="0" borderId="0" xfId="0" applyFont="1"/>
    <xf numFmtId="0" fontId="2" fillId="0" borderId="0" xfId="0" applyFont="1"/>
    <xf numFmtId="164" fontId="8" fillId="0" borderId="0" xfId="0" applyNumberFormat="1" applyFont="1"/>
    <xf numFmtId="165" fontId="0" fillId="0" borderId="0" xfId="0" applyNumberFormat="1"/>
    <xf numFmtId="165" fontId="8" fillId="0" borderId="0" xfId="0" applyNumberFormat="1" applyFont="1"/>
    <xf numFmtId="0" fontId="8" fillId="0" borderId="0" xfId="0" applyFont="1"/>
    <xf numFmtId="164" fontId="9" fillId="0" borderId="0" xfId="0" applyNumberFormat="1" applyFont="1"/>
    <xf numFmtId="0" fontId="10" fillId="0" borderId="0" xfId="0" applyFont="1"/>
    <xf numFmtId="0" fontId="11" fillId="0" borderId="0" xfId="0" applyFont="1"/>
    <xf numFmtId="164" fontId="10" fillId="0" borderId="0" xfId="0" applyNumberFormat="1" applyFont="1" applyAlignment="1">
      <alignment horizontal="left"/>
    </xf>
    <xf numFmtId="0" fontId="12" fillId="0" borderId="0" xfId="49" applyFont="1"/>
    <xf numFmtId="0" fontId="13" fillId="0" borderId="0" xfId="49" applyFont="1"/>
    <xf numFmtId="0" fontId="5" fillId="0" borderId="0" xfId="49"/>
    <xf numFmtId="49" fontId="11" fillId="0" borderId="0" xfId="0" applyNumberFormat="1" applyFont="1"/>
    <xf numFmtId="0" fontId="11" fillId="0" borderId="0" xfId="0" applyFont="1" applyAlignment="1">
      <alignment vertical="center" wrapText="1"/>
    </xf>
    <xf numFmtId="0" fontId="5" fillId="0" borderId="0" xfId="49" applyAlignment="1">
      <alignment vertical="center" wrapText="1"/>
    </xf>
    <xf numFmtId="165" fontId="0" fillId="0" borderId="0" xfId="0" applyNumberFormat="1" applyFill="1"/>
    <xf numFmtId="0" fontId="3" fillId="0" borderId="0" xfId="0" applyFont="1" applyFill="1"/>
    <xf numFmtId="0" fontId="0" fillId="0" borderId="0" xfId="0" applyFill="1"/>
    <xf numFmtId="1" fontId="3" fillId="0" borderId="0" xfId="0" applyNumberFormat="1" applyFont="1" applyFill="1"/>
    <xf numFmtId="1" fontId="0" fillId="0" borderId="0" xfId="0" applyNumberFormat="1" applyFill="1"/>
    <xf numFmtId="165" fontId="3" fillId="0" borderId="0" xfId="0" applyNumberFormat="1" applyFont="1" applyFill="1"/>
    <xf numFmtId="0" fontId="14" fillId="0" borderId="0" xfId="0" applyFont="1"/>
    <xf numFmtId="0" fontId="15" fillId="0" borderId="0" xfId="0" applyFont="1"/>
    <xf numFmtId="0" fontId="0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4" fontId="10" fillId="2" borderId="0" xfId="0" applyNumberFormat="1" applyFont="1" applyFill="1" applyAlignment="1">
      <alignment horizontal="left"/>
    </xf>
    <xf numFmtId="165" fontId="0" fillId="0" borderId="0" xfId="0" applyNumberFormat="1" applyAlignment="1">
      <alignment horizontal="right"/>
    </xf>
    <xf numFmtId="0" fontId="0" fillId="3" borderId="0" xfId="0" applyFill="1"/>
    <xf numFmtId="165" fontId="0" fillId="3" borderId="0" xfId="0" applyNumberFormat="1" applyFill="1"/>
    <xf numFmtId="3" fontId="0" fillId="0" borderId="0" xfId="0" applyNumberFormat="1"/>
    <xf numFmtId="165" fontId="16" fillId="0" borderId="0" xfId="0" applyNumberFormat="1" applyFont="1"/>
    <xf numFmtId="165" fontId="3" fillId="0" borderId="0" xfId="0" applyNumberFormat="1" applyFont="1"/>
    <xf numFmtId="165" fontId="17" fillId="0" borderId="0" xfId="0" applyNumberFormat="1" applyFont="1"/>
    <xf numFmtId="0" fontId="18" fillId="0" borderId="0" xfId="0" applyFont="1"/>
    <xf numFmtId="6" fontId="0" fillId="0" borderId="0" xfId="0" applyNumberFormat="1"/>
    <xf numFmtId="164" fontId="0" fillId="0" borderId="0" xfId="0" applyNumberFormat="1" applyAlignment="1">
      <alignment horizontal="right"/>
    </xf>
    <xf numFmtId="164" fontId="11" fillId="0" borderId="0" xfId="0" applyNumberFormat="1" applyFont="1"/>
    <xf numFmtId="164" fontId="0" fillId="0" borderId="0" xfId="0" applyNumberFormat="1" applyFont="1"/>
    <xf numFmtId="165" fontId="11" fillId="0" borderId="0" xfId="0" applyNumberFormat="1" applyFont="1"/>
    <xf numFmtId="165" fontId="10" fillId="0" borderId="0" xfId="0" applyNumberFormat="1" applyFont="1"/>
    <xf numFmtId="164" fontId="10" fillId="0" borderId="0" xfId="0" applyNumberFormat="1" applyFont="1" applyFill="1" applyAlignment="1">
      <alignment horizontal="left"/>
    </xf>
    <xf numFmtId="2" fontId="0" fillId="0" borderId="0" xfId="0" applyNumberFormat="1"/>
    <xf numFmtId="1" fontId="19" fillId="0" borderId="0" xfId="0" applyNumberFormat="1" applyFont="1"/>
    <xf numFmtId="2" fontId="20" fillId="0" borderId="0" xfId="0" applyNumberFormat="1" applyFont="1" applyFill="1"/>
    <xf numFmtId="0" fontId="19" fillId="0" borderId="0" xfId="0" applyFont="1"/>
    <xf numFmtId="2" fontId="19" fillId="0" borderId="0" xfId="0" applyNumberFormat="1" applyFont="1"/>
    <xf numFmtId="2" fontId="21" fillId="4" borderId="0" xfId="0" applyNumberFormat="1" applyFont="1" applyFill="1"/>
    <xf numFmtId="0" fontId="22" fillId="0" borderId="1" xfId="0" applyFont="1" applyBorder="1" applyAlignment="1">
      <alignment wrapText="1"/>
    </xf>
    <xf numFmtId="164" fontId="22" fillId="0" borderId="0" xfId="0" applyNumberFormat="1" applyFont="1"/>
    <xf numFmtId="0" fontId="22" fillId="0" borderId="0" xfId="0" applyFont="1"/>
    <xf numFmtId="165" fontId="19" fillId="0" borderId="0" xfId="0" applyNumberFormat="1" applyFont="1"/>
    <xf numFmtId="3" fontId="19" fillId="0" borderId="1" xfId="0" applyNumberFormat="1" applyFont="1" applyBorder="1" applyAlignment="1">
      <alignment wrapText="1"/>
    </xf>
    <xf numFmtId="2" fontId="19" fillId="0" borderId="0" xfId="0" applyNumberFormat="1" applyFont="1" applyBorder="1" applyAlignment="1">
      <alignment wrapText="1"/>
    </xf>
    <xf numFmtId="1" fontId="19" fillId="0" borderId="0" xfId="0" applyNumberFormat="1" applyFont="1" applyBorder="1" applyAlignment="1">
      <alignment wrapText="1"/>
    </xf>
    <xf numFmtId="2" fontId="21" fillId="4" borderId="0" xfId="0" applyNumberFormat="1" applyFont="1" applyFill="1" applyBorder="1" applyAlignment="1">
      <alignment wrapText="1"/>
    </xf>
    <xf numFmtId="165" fontId="19" fillId="0" borderId="0" xfId="0" applyNumberFormat="1" applyFont="1" applyAlignment="1">
      <alignment horizontal="right"/>
    </xf>
    <xf numFmtId="0" fontId="19" fillId="0" borderId="1" xfId="0" applyFont="1" applyBorder="1" applyAlignment="1">
      <alignment wrapText="1"/>
    </xf>
    <xf numFmtId="3" fontId="19" fillId="0" borderId="1" xfId="0" applyNumberFormat="1" applyFont="1" applyBorder="1" applyAlignment="1">
      <alignment vertical="center" wrapText="1"/>
    </xf>
    <xf numFmtId="2" fontId="19" fillId="0" borderId="1" xfId="0" applyNumberFormat="1" applyFont="1" applyBorder="1" applyAlignment="1">
      <alignment wrapText="1"/>
    </xf>
    <xf numFmtId="2" fontId="20" fillId="4" borderId="0" xfId="0" applyNumberFormat="1" applyFont="1" applyFill="1"/>
    <xf numFmtId="3" fontId="19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right" wrapText="1"/>
    </xf>
    <xf numFmtId="164" fontId="19" fillId="0" borderId="1" xfId="0" applyNumberFormat="1" applyFont="1" applyBorder="1" applyAlignment="1">
      <alignment horizontal="right" wrapText="1"/>
    </xf>
    <xf numFmtId="165" fontId="19" fillId="0" borderId="1" xfId="0" applyNumberFormat="1" applyFont="1" applyBorder="1" applyAlignment="1">
      <alignment horizontal="right" wrapText="1"/>
    </xf>
    <xf numFmtId="0" fontId="20" fillId="0" borderId="0" xfId="0" applyFont="1"/>
    <xf numFmtId="3" fontId="22" fillId="0" borderId="1" xfId="0" applyNumberFormat="1" applyFont="1" applyBorder="1" applyAlignment="1">
      <alignment horizontal="right" wrapText="1"/>
    </xf>
    <xf numFmtId="2" fontId="22" fillId="0" borderId="1" xfId="0" applyNumberFormat="1" applyFont="1" applyBorder="1" applyAlignment="1">
      <alignment horizontal="right" wrapText="1"/>
    </xf>
    <xf numFmtId="1" fontId="22" fillId="0" borderId="1" xfId="0" applyNumberFormat="1" applyFont="1" applyBorder="1" applyAlignment="1">
      <alignment horizontal="right" wrapText="1"/>
    </xf>
    <xf numFmtId="2" fontId="23" fillId="4" borderId="1" xfId="0" applyNumberFormat="1" applyFont="1" applyFill="1" applyBorder="1" applyAlignment="1">
      <alignment horizontal="right" wrapText="1"/>
    </xf>
    <xf numFmtId="164" fontId="22" fillId="0" borderId="1" xfId="0" applyNumberFormat="1" applyFont="1" applyBorder="1" applyAlignment="1">
      <alignment vertical="center" wrapText="1"/>
    </xf>
    <xf numFmtId="165" fontId="22" fillId="0" borderId="1" xfId="0" applyNumberFormat="1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2" fontId="19" fillId="0" borderId="1" xfId="0" applyNumberFormat="1" applyFont="1" applyBorder="1" applyAlignment="1">
      <alignment vertical="center" wrapText="1"/>
    </xf>
    <xf numFmtId="1" fontId="19" fillId="0" borderId="1" xfId="0" applyNumberFormat="1" applyFont="1" applyBorder="1" applyAlignment="1">
      <alignment vertical="center" wrapText="1"/>
    </xf>
    <xf numFmtId="2" fontId="21" fillId="0" borderId="1" xfId="0" applyNumberFormat="1" applyFont="1" applyFill="1" applyBorder="1" applyAlignment="1">
      <alignment vertical="center" wrapText="1"/>
    </xf>
    <xf numFmtId="164" fontId="19" fillId="0" borderId="1" xfId="0" applyNumberFormat="1" applyFont="1" applyBorder="1" applyAlignment="1">
      <alignment vertical="center" wrapText="1"/>
    </xf>
    <xf numFmtId="165" fontId="19" fillId="0" borderId="1" xfId="0" applyNumberFormat="1" applyFont="1" applyBorder="1" applyAlignment="1">
      <alignment vertical="center" wrapText="1"/>
    </xf>
    <xf numFmtId="0" fontId="19" fillId="0" borderId="1" xfId="0" applyFont="1" applyBorder="1" applyAlignment="1">
      <alignment horizontal="left" wrapText="1"/>
    </xf>
    <xf numFmtId="164" fontId="19" fillId="0" borderId="1" xfId="0" applyNumberFormat="1" applyFont="1" applyBorder="1" applyAlignment="1">
      <alignment wrapText="1"/>
    </xf>
    <xf numFmtId="6" fontId="19" fillId="0" borderId="1" xfId="0" applyNumberFormat="1" applyFont="1" applyBorder="1" applyAlignment="1">
      <alignment vertical="center" wrapText="1"/>
    </xf>
    <xf numFmtId="164" fontId="19" fillId="0" borderId="0" xfId="0" applyNumberFormat="1" applyFont="1"/>
    <xf numFmtId="0" fontId="22" fillId="0" borderId="0" xfId="0" applyFont="1" applyFill="1" applyBorder="1" applyAlignment="1">
      <alignment wrapText="1"/>
    </xf>
    <xf numFmtId="6" fontId="22" fillId="0" borderId="0" xfId="0" applyNumberFormat="1" applyFont="1"/>
    <xf numFmtId="2" fontId="22" fillId="0" borderId="0" xfId="0" applyNumberFormat="1" applyFont="1"/>
    <xf numFmtId="1" fontId="22" fillId="0" borderId="0" xfId="0" applyNumberFormat="1" applyFont="1"/>
    <xf numFmtId="6" fontId="23" fillId="0" borderId="0" xfId="0" applyNumberFormat="1" applyFont="1" applyFill="1"/>
    <xf numFmtId="0" fontId="19" fillId="0" borderId="0" xfId="0" applyFont="1" applyBorder="1" applyAlignment="1">
      <alignment wrapText="1"/>
    </xf>
    <xf numFmtId="0" fontId="24" fillId="0" borderId="0" xfId="0" applyFont="1"/>
    <xf numFmtId="0" fontId="0" fillId="5" borderId="0" xfId="0" applyFill="1"/>
    <xf numFmtId="164" fontId="0" fillId="5" borderId="0" xfId="0" applyNumberFormat="1" applyFill="1"/>
    <xf numFmtId="164" fontId="0" fillId="0" borderId="0" xfId="0" applyNumberFormat="1" applyFill="1"/>
    <xf numFmtId="165" fontId="9" fillId="0" borderId="0" xfId="0" applyNumberFormat="1" applyFont="1"/>
    <xf numFmtId="0" fontId="3" fillId="5" borderId="0" xfId="0" applyFont="1" applyFill="1"/>
    <xf numFmtId="0" fontId="26" fillId="0" borderId="0" xfId="0" applyFont="1"/>
    <xf numFmtId="165" fontId="0" fillId="6" borderId="0" xfId="0" applyNumberFormat="1" applyFill="1"/>
    <xf numFmtId="165" fontId="0" fillId="7" borderId="0" xfId="0" applyNumberFormat="1" applyFill="1"/>
    <xf numFmtId="165" fontId="0" fillId="8" borderId="0" xfId="0" applyNumberFormat="1" applyFill="1"/>
    <xf numFmtId="165" fontId="11" fillId="0" borderId="0" xfId="0" applyNumberFormat="1" applyFont="1" applyFill="1"/>
    <xf numFmtId="3" fontId="3" fillId="6" borderId="0" xfId="0" applyNumberFormat="1" applyFont="1" applyFill="1"/>
    <xf numFmtId="1" fontId="0" fillId="6" borderId="0" xfId="0" applyNumberFormat="1" applyFill="1"/>
    <xf numFmtId="1" fontId="0" fillId="7" borderId="0" xfId="0" applyNumberFormat="1" applyFill="1"/>
    <xf numFmtId="1" fontId="0" fillId="8" borderId="0" xfId="0" applyNumberFormat="1" applyFill="1"/>
    <xf numFmtId="1" fontId="3" fillId="6" borderId="0" xfId="0" applyNumberFormat="1" applyFont="1" applyFill="1"/>
    <xf numFmtId="1" fontId="3" fillId="7" borderId="0" xfId="0" applyNumberFormat="1" applyFont="1" applyFill="1"/>
    <xf numFmtId="1" fontId="3" fillId="8" borderId="0" xfId="0" applyNumberFormat="1" applyFont="1" applyFill="1"/>
    <xf numFmtId="1" fontId="10" fillId="0" borderId="0" xfId="0" applyNumberFormat="1" applyFont="1" applyFill="1"/>
    <xf numFmtId="1" fontId="11" fillId="0" borderId="0" xfId="0" applyNumberFormat="1" applyFont="1" applyFill="1"/>
    <xf numFmtId="165" fontId="3" fillId="7" borderId="0" xfId="0" applyNumberFormat="1" applyFont="1" applyFill="1"/>
    <xf numFmtId="165" fontId="3" fillId="8" borderId="0" xfId="0" applyNumberFormat="1" applyFont="1" applyFill="1"/>
    <xf numFmtId="165" fontId="10" fillId="0" borderId="0" xfId="0" applyNumberFormat="1" applyFont="1" applyFill="1"/>
    <xf numFmtId="165" fontId="11" fillId="9" borderId="0" xfId="0" applyNumberFormat="1" applyFont="1" applyFill="1"/>
    <xf numFmtId="165" fontId="0" fillId="9" borderId="0" xfId="0" applyNumberFormat="1" applyFill="1"/>
    <xf numFmtId="165" fontId="14" fillId="6" borderId="0" xfId="0" applyNumberFormat="1" applyFont="1" applyFill="1"/>
    <xf numFmtId="165" fontId="14" fillId="7" borderId="0" xfId="0" applyNumberFormat="1" applyFont="1" applyFill="1"/>
    <xf numFmtId="165" fontId="14" fillId="8" borderId="0" xfId="0" applyNumberFormat="1" applyFont="1" applyFill="1"/>
    <xf numFmtId="165" fontId="14" fillId="9" borderId="0" xfId="0" applyNumberFormat="1" applyFont="1" applyFill="1"/>
    <xf numFmtId="165" fontId="15" fillId="6" borderId="0" xfId="0" applyNumberFormat="1" applyFont="1" applyFill="1"/>
    <xf numFmtId="165" fontId="0" fillId="6" borderId="0" xfId="0" applyNumberFormat="1" applyFont="1" applyFill="1"/>
    <xf numFmtId="165" fontId="0" fillId="7" borderId="0" xfId="0" applyNumberFormat="1" applyFont="1" applyFill="1"/>
    <xf numFmtId="165" fontId="0" fillId="8" borderId="0" xfId="0" applyNumberFormat="1" applyFont="1" applyFill="1"/>
    <xf numFmtId="165" fontId="0" fillId="9" borderId="0" xfId="0" applyNumberFormat="1" applyFont="1" applyFill="1"/>
    <xf numFmtId="165" fontId="0" fillId="0" borderId="0" xfId="0" applyNumberFormat="1" applyFont="1"/>
    <xf numFmtId="165" fontId="25" fillId="6" borderId="0" xfId="0" applyNumberFormat="1" applyFont="1" applyFill="1"/>
    <xf numFmtId="165" fontId="2" fillId="6" borderId="0" xfId="0" applyNumberFormat="1" applyFont="1" applyFill="1"/>
    <xf numFmtId="165" fontId="2" fillId="7" borderId="0" xfId="0" applyNumberFormat="1" applyFont="1" applyFill="1"/>
    <xf numFmtId="165" fontId="2" fillId="8" borderId="0" xfId="0" applyNumberFormat="1" applyFont="1" applyFill="1"/>
    <xf numFmtId="165" fontId="2" fillId="9" borderId="0" xfId="0" applyNumberFormat="1" applyFont="1" applyFill="1"/>
    <xf numFmtId="165" fontId="0" fillId="10" borderId="0" xfId="0" applyNumberFormat="1" applyFill="1"/>
    <xf numFmtId="0" fontId="11" fillId="0" borderId="0" xfId="0" applyFont="1" applyFill="1"/>
    <xf numFmtId="0" fontId="0" fillId="0" borderId="0" xfId="0" applyFont="1" applyFill="1"/>
    <xf numFmtId="0" fontId="0" fillId="7" borderId="0" xfId="0" applyFill="1"/>
    <xf numFmtId="0" fontId="0" fillId="8" borderId="0" xfId="0" applyFill="1"/>
    <xf numFmtId="0" fontId="11" fillId="9" borderId="0" xfId="0" applyFont="1" applyFill="1"/>
    <xf numFmtId="0" fontId="0" fillId="9" borderId="0" xfId="0" applyFill="1"/>
    <xf numFmtId="165" fontId="11" fillId="11" borderId="0" xfId="0" applyNumberFormat="1" applyFont="1" applyFill="1"/>
    <xf numFmtId="1" fontId="11" fillId="11" borderId="0" xfId="0" applyNumberFormat="1" applyFont="1" applyFill="1"/>
    <xf numFmtId="1" fontId="10" fillId="11" borderId="0" xfId="0" applyNumberFormat="1" applyFont="1" applyFill="1"/>
    <xf numFmtId="165" fontId="10" fillId="11" borderId="0" xfId="0" applyNumberFormat="1" applyFont="1" applyFill="1"/>
    <xf numFmtId="165" fontId="14" fillId="11" borderId="0" xfId="0" applyNumberFormat="1" applyFont="1" applyFill="1"/>
    <xf numFmtId="0" fontId="11" fillId="11" borderId="0" xfId="0" applyFont="1" applyFill="1"/>
    <xf numFmtId="0" fontId="11" fillId="0" borderId="0" xfId="0" applyFont="1" applyAlignment="1">
      <alignment vertical="center" wrapText="1"/>
    </xf>
  </cellXfs>
  <cellStyles count="10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/>
    <cellStyle name="Normal" xfId="0" builtinId="0"/>
    <cellStyle name="Normal 2" xfId="5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tshackelford@aan.org" TargetMode="External"/><Relationship Id="rId3" Type="http://schemas.openxmlformats.org/officeDocument/2006/relationships/hyperlink" Target="mailto:joe@care2team.com" TargetMode="External"/><Relationship Id="rId7" Type="http://schemas.openxmlformats.org/officeDocument/2006/relationships/hyperlink" Target="mailto:alexishalbert@hcn.org" TargetMode="External"/><Relationship Id="rId2" Type="http://schemas.openxmlformats.org/officeDocument/2006/relationships/hyperlink" Target="mailto:miles@inthesetimes.org" TargetMode="External"/><Relationship Id="rId1" Type="http://schemas.openxmlformats.org/officeDocument/2006/relationships/hyperlink" Target="mailto:sgleason@yesmagazine.org" TargetMode="External"/><Relationship Id="rId6" Type="http://schemas.openxmlformats.org/officeDocument/2006/relationships/hyperlink" Target="mailto:carl@washingtonmonthly.com" TargetMode="External"/><Relationship Id="rId5" Type="http://schemas.openxmlformats.org/officeDocument/2006/relationships/hyperlink" Target="mailto:Alexlubben@gmail.com" TargetMode="External"/><Relationship Id="rId10" Type="http://schemas.openxmlformats.org/officeDocument/2006/relationships/hyperlink" Target="mailto:rarakaki@yesmagazine.org" TargetMode="External"/><Relationship Id="rId4" Type="http://schemas.openxmlformats.org/officeDocument/2006/relationships/hyperlink" Target="mailto:joellen@themediaconsortium.com" TargetMode="External"/><Relationship Id="rId9" Type="http://schemas.openxmlformats.org/officeDocument/2006/relationships/hyperlink" Target="mailto:roz@nationinstitut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G124"/>
  <sheetViews>
    <sheetView tabSelected="1" topLeftCell="B107" workbookViewId="0">
      <selection activeCell="K130" sqref="K130"/>
    </sheetView>
  </sheetViews>
  <sheetFormatPr defaultColWidth="11" defaultRowHeight="15.6" x14ac:dyDescent="0.6"/>
  <cols>
    <col min="3" max="3" width="23" bestFit="1" customWidth="1"/>
    <col min="4" max="4" width="15.6484375" style="3" customWidth="1"/>
    <col min="5" max="5" width="13.84765625" style="3" bestFit="1" customWidth="1"/>
  </cols>
  <sheetData>
    <row r="2" spans="1:7" x14ac:dyDescent="0.6">
      <c r="A2" s="7" t="s">
        <v>11</v>
      </c>
      <c r="D2" s="3" t="s">
        <v>328</v>
      </c>
      <c r="E2" s="3" t="s">
        <v>278</v>
      </c>
      <c r="G2" t="s">
        <v>10</v>
      </c>
    </row>
    <row r="4" spans="1:7" x14ac:dyDescent="0.6">
      <c r="B4" t="s">
        <v>0</v>
      </c>
      <c r="D4" s="2">
        <v>170054.05</v>
      </c>
      <c r="E4" s="2">
        <v>170054.05</v>
      </c>
      <c r="G4" t="s">
        <v>305</v>
      </c>
    </row>
    <row r="5" spans="1:7" s="97" customFormat="1" x14ac:dyDescent="0.6">
      <c r="D5" s="98"/>
      <c r="E5" s="98"/>
    </row>
    <row r="6" spans="1:7" s="25" customFormat="1" x14ac:dyDescent="0.6">
      <c r="D6" s="99"/>
      <c r="E6" s="99"/>
    </row>
    <row r="7" spans="1:7" x14ac:dyDescent="0.6">
      <c r="A7" s="7" t="s">
        <v>12</v>
      </c>
      <c r="B7" t="s">
        <v>1</v>
      </c>
    </row>
    <row r="8" spans="1:7" x14ac:dyDescent="0.6">
      <c r="C8" t="s">
        <v>3</v>
      </c>
      <c r="D8" s="3">
        <v>37813.449999999997</v>
      </c>
      <c r="E8" s="3">
        <v>37813.449999999997</v>
      </c>
    </row>
    <row r="9" spans="1:7" x14ac:dyDescent="0.6">
      <c r="A9" s="12"/>
      <c r="B9" s="12"/>
      <c r="C9" s="12"/>
      <c r="D9" s="9">
        <v>17000</v>
      </c>
      <c r="E9" s="9">
        <v>17000</v>
      </c>
      <c r="G9" s="12" t="s">
        <v>82</v>
      </c>
    </row>
    <row r="10" spans="1:7" x14ac:dyDescent="0.6">
      <c r="C10" t="s">
        <v>2</v>
      </c>
      <c r="D10" s="3">
        <v>60000</v>
      </c>
      <c r="E10" s="3">
        <v>60000</v>
      </c>
      <c r="G10" t="s">
        <v>22</v>
      </c>
    </row>
    <row r="11" spans="1:7" x14ac:dyDescent="0.6">
      <c r="D11" s="4">
        <f>SUBTOTAL(9,D8:D10)</f>
        <v>114813.45</v>
      </c>
      <c r="E11" s="4">
        <f>SUBTOTAL(9,E8:E10)</f>
        <v>114813.45</v>
      </c>
    </row>
    <row r="13" spans="1:7" x14ac:dyDescent="0.6">
      <c r="B13" t="s">
        <v>4</v>
      </c>
    </row>
    <row r="14" spans="1:7" x14ac:dyDescent="0.6">
      <c r="C14" t="s">
        <v>6</v>
      </c>
      <c r="D14" s="3">
        <v>69480.22</v>
      </c>
      <c r="E14" s="3">
        <v>69480.22</v>
      </c>
      <c r="G14" t="s">
        <v>304</v>
      </c>
    </row>
    <row r="15" spans="1:7" x14ac:dyDescent="0.6">
      <c r="C15" t="s">
        <v>5</v>
      </c>
    </row>
    <row r="16" spans="1:7" x14ac:dyDescent="0.6">
      <c r="B16">
        <v>1715701</v>
      </c>
      <c r="C16" t="s">
        <v>80</v>
      </c>
      <c r="D16" s="1">
        <v>-17000</v>
      </c>
      <c r="E16" s="1">
        <v>-17000</v>
      </c>
      <c r="G16" t="s">
        <v>82</v>
      </c>
    </row>
    <row r="17" spans="1:7" x14ac:dyDescent="0.6">
      <c r="C17" t="s">
        <v>7</v>
      </c>
      <c r="D17" s="1">
        <v>2760.38</v>
      </c>
      <c r="E17" s="1">
        <v>2760.38</v>
      </c>
    </row>
    <row r="18" spans="1:7" x14ac:dyDescent="0.6">
      <c r="D18" s="4">
        <f>SUBTOTAL(9,D14:D17)</f>
        <v>55240.6</v>
      </c>
      <c r="E18" s="4">
        <f>SUBTOTAL(9,E14:E17)</f>
        <v>55240.6</v>
      </c>
    </row>
    <row r="20" spans="1:7" x14ac:dyDescent="0.6">
      <c r="B20" t="s">
        <v>8</v>
      </c>
    </row>
    <row r="21" spans="1:7" x14ac:dyDescent="0.6">
      <c r="C21" t="s">
        <v>2</v>
      </c>
      <c r="E21" s="3">
        <v>0</v>
      </c>
    </row>
    <row r="22" spans="1:7" x14ac:dyDescent="0.6">
      <c r="C22" t="s">
        <v>266</v>
      </c>
      <c r="D22" s="3">
        <v>10000</v>
      </c>
      <c r="E22" s="5">
        <v>10000</v>
      </c>
    </row>
    <row r="24" spans="1:7" x14ac:dyDescent="0.6">
      <c r="B24" t="s">
        <v>9</v>
      </c>
    </row>
    <row r="25" spans="1:7" x14ac:dyDescent="0.6">
      <c r="C25" t="s">
        <v>6</v>
      </c>
      <c r="D25" s="3">
        <v>0</v>
      </c>
      <c r="E25" s="45">
        <v>10000</v>
      </c>
      <c r="G25" t="s">
        <v>277</v>
      </c>
    </row>
    <row r="26" spans="1:7" x14ac:dyDescent="0.6">
      <c r="C26" t="s">
        <v>5</v>
      </c>
      <c r="D26" s="3">
        <v>25000</v>
      </c>
      <c r="E26" s="5">
        <v>30000</v>
      </c>
    </row>
    <row r="27" spans="1:7" x14ac:dyDescent="0.6">
      <c r="C27" t="s">
        <v>280</v>
      </c>
      <c r="E27" s="5"/>
    </row>
    <row r="28" spans="1:7" x14ac:dyDescent="0.6">
      <c r="C28" t="s">
        <v>281</v>
      </c>
      <c r="E28" s="5"/>
    </row>
    <row r="29" spans="1:7" x14ac:dyDescent="0.6">
      <c r="E29" s="5">
        <v>38000</v>
      </c>
      <c r="G29" t="s">
        <v>279</v>
      </c>
    </row>
    <row r="30" spans="1:7" x14ac:dyDescent="0.6">
      <c r="D30" s="4">
        <f>SUM(D21:D29)</f>
        <v>35000</v>
      </c>
      <c r="E30" s="6">
        <f>SUM(E21:E29)</f>
        <v>88000</v>
      </c>
    </row>
    <row r="32" spans="1:7" x14ac:dyDescent="0.6">
      <c r="A32" s="7" t="s">
        <v>14</v>
      </c>
    </row>
    <row r="33" spans="1:7" x14ac:dyDescent="0.6">
      <c r="B33">
        <v>1714108</v>
      </c>
      <c r="C33" t="s">
        <v>19</v>
      </c>
      <c r="D33" s="45">
        <v>22125</v>
      </c>
      <c r="E33" s="5">
        <v>20000</v>
      </c>
      <c r="G33" t="s">
        <v>329</v>
      </c>
    </row>
    <row r="34" spans="1:7" x14ac:dyDescent="0.6">
      <c r="B34">
        <v>1714107</v>
      </c>
      <c r="C34" t="s">
        <v>13</v>
      </c>
      <c r="D34" s="3">
        <v>0</v>
      </c>
      <c r="E34" s="3">
        <v>4000</v>
      </c>
    </row>
    <row r="35" spans="1:7" x14ac:dyDescent="0.6">
      <c r="B35">
        <v>1714106</v>
      </c>
      <c r="C35" t="s">
        <v>15</v>
      </c>
      <c r="D35" s="44">
        <v>0</v>
      </c>
      <c r="E35" s="45">
        <v>7500</v>
      </c>
      <c r="G35" t="s">
        <v>282</v>
      </c>
    </row>
    <row r="36" spans="1:7" x14ac:dyDescent="0.6">
      <c r="C36" t="s">
        <v>16</v>
      </c>
      <c r="D36" s="3">
        <v>150</v>
      </c>
      <c r="E36" s="45">
        <v>1500</v>
      </c>
      <c r="G36" t="s">
        <v>283</v>
      </c>
    </row>
    <row r="37" spans="1:7" x14ac:dyDescent="0.6">
      <c r="B37">
        <v>1714105</v>
      </c>
      <c r="C37" t="s">
        <v>17</v>
      </c>
      <c r="D37" s="3">
        <v>6200</v>
      </c>
      <c r="E37" s="45">
        <v>5000</v>
      </c>
    </row>
    <row r="38" spans="1:7" x14ac:dyDescent="0.6">
      <c r="C38" t="s">
        <v>18</v>
      </c>
      <c r="D38" s="3">
        <v>3380</v>
      </c>
      <c r="E38" s="5">
        <v>4160</v>
      </c>
    </row>
    <row r="39" spans="1:7" x14ac:dyDescent="0.6">
      <c r="C39" t="s">
        <v>320</v>
      </c>
      <c r="E39" s="5">
        <v>3500</v>
      </c>
      <c r="G39" t="s">
        <v>321</v>
      </c>
    </row>
    <row r="40" spans="1:7" x14ac:dyDescent="0.6">
      <c r="D40" s="4">
        <f>SUM(D33:D39)</f>
        <v>31855</v>
      </c>
      <c r="E40" s="4">
        <f>SUBTOTAL(9,E33:E39)</f>
        <v>45660</v>
      </c>
      <c r="G40" s="102"/>
    </row>
    <row r="42" spans="1:7" x14ac:dyDescent="0.6">
      <c r="A42" s="7" t="s">
        <v>21</v>
      </c>
      <c r="D42" s="4">
        <f>SUM(D11+D18+D30+D40)</f>
        <v>236909.05</v>
      </c>
      <c r="E42" s="4">
        <f>SUM(E11+E18+E30+E40)</f>
        <v>303714.05</v>
      </c>
    </row>
    <row r="45" spans="1:7" x14ac:dyDescent="0.6">
      <c r="A45" s="7" t="s">
        <v>23</v>
      </c>
    </row>
    <row r="47" spans="1:7" x14ac:dyDescent="0.6">
      <c r="A47" s="7" t="s">
        <v>24</v>
      </c>
    </row>
    <row r="48" spans="1:7" x14ac:dyDescent="0.6">
      <c r="B48" s="7" t="s">
        <v>27</v>
      </c>
    </row>
    <row r="49" spans="2:7" x14ac:dyDescent="0.6">
      <c r="B49">
        <v>1715702</v>
      </c>
      <c r="C49" t="s">
        <v>28</v>
      </c>
      <c r="D49" s="3">
        <v>15000</v>
      </c>
      <c r="E49" s="3">
        <v>50000</v>
      </c>
      <c r="G49" t="s">
        <v>275</v>
      </c>
    </row>
    <row r="50" spans="2:7" x14ac:dyDescent="0.6">
      <c r="C50" t="s">
        <v>29</v>
      </c>
      <c r="D50" s="3">
        <v>4301.6499999999996</v>
      </c>
      <c r="E50" s="3">
        <v>7000</v>
      </c>
      <c r="G50" t="s">
        <v>30</v>
      </c>
    </row>
    <row r="51" spans="2:7" x14ac:dyDescent="0.6">
      <c r="B51">
        <v>1715750</v>
      </c>
      <c r="C51" t="s">
        <v>31</v>
      </c>
      <c r="D51" s="3">
        <v>8280</v>
      </c>
      <c r="E51" s="3">
        <v>7200</v>
      </c>
      <c r="G51" t="s">
        <v>331</v>
      </c>
    </row>
    <row r="52" spans="2:7" x14ac:dyDescent="0.6">
      <c r="C52" t="s">
        <v>32</v>
      </c>
      <c r="D52" s="3">
        <v>50</v>
      </c>
      <c r="E52" s="3">
        <v>5200</v>
      </c>
      <c r="G52" t="s">
        <v>67</v>
      </c>
    </row>
    <row r="53" spans="2:7" x14ac:dyDescent="0.6">
      <c r="C53" t="s">
        <v>68</v>
      </c>
      <c r="D53" s="3">
        <v>0</v>
      </c>
      <c r="E53" s="3">
        <v>1000</v>
      </c>
    </row>
    <row r="54" spans="2:7" x14ac:dyDescent="0.6">
      <c r="C54" t="s">
        <v>322</v>
      </c>
    </row>
    <row r="55" spans="2:7" x14ac:dyDescent="0.6">
      <c r="C55" t="s">
        <v>330</v>
      </c>
    </row>
    <row r="56" spans="2:7" x14ac:dyDescent="0.6">
      <c r="B56">
        <v>1715751</v>
      </c>
      <c r="C56" t="s">
        <v>41</v>
      </c>
      <c r="E56" s="3">
        <v>135</v>
      </c>
    </row>
    <row r="57" spans="2:7" x14ac:dyDescent="0.6">
      <c r="D57" s="4">
        <f>SUM(D49:D56)</f>
        <v>27631.65</v>
      </c>
      <c r="E57" s="4">
        <f>SUBTOTAL(9,E49:E56)</f>
        <v>70535</v>
      </c>
    </row>
    <row r="59" spans="2:7" x14ac:dyDescent="0.6">
      <c r="B59" s="7" t="s">
        <v>33</v>
      </c>
    </row>
    <row r="60" spans="2:7" x14ac:dyDescent="0.6">
      <c r="B60">
        <v>1715701</v>
      </c>
      <c r="C60" t="s">
        <v>25</v>
      </c>
      <c r="D60" s="3">
        <f>0.07*(D23+D30)</f>
        <v>2450.0000000000005</v>
      </c>
      <c r="E60" s="3">
        <f>0.07*(E23+E30)</f>
        <v>6160.0000000000009</v>
      </c>
      <c r="G60" t="s">
        <v>26</v>
      </c>
    </row>
    <row r="61" spans="2:7" x14ac:dyDescent="0.6">
      <c r="B61">
        <v>1715708</v>
      </c>
      <c r="C61" t="s">
        <v>38</v>
      </c>
      <c r="D61" s="3">
        <v>0</v>
      </c>
      <c r="E61" s="3">
        <v>0</v>
      </c>
      <c r="G61" t="s">
        <v>52</v>
      </c>
    </row>
    <row r="62" spans="2:7" x14ac:dyDescent="0.6">
      <c r="B62">
        <v>1715709</v>
      </c>
      <c r="C62" t="s">
        <v>39</v>
      </c>
      <c r="D62" s="3">
        <v>792.34</v>
      </c>
      <c r="E62" s="3">
        <v>600</v>
      </c>
    </row>
    <row r="63" spans="2:7" x14ac:dyDescent="0.6">
      <c r="B63">
        <v>1715712</v>
      </c>
      <c r="C63" t="s">
        <v>34</v>
      </c>
      <c r="D63" s="3">
        <v>0</v>
      </c>
      <c r="E63" s="3">
        <v>0</v>
      </c>
      <c r="G63" t="s">
        <v>53</v>
      </c>
    </row>
    <row r="64" spans="2:7" x14ac:dyDescent="0.6">
      <c r="B64">
        <v>1715767</v>
      </c>
      <c r="C64" t="s">
        <v>61</v>
      </c>
      <c r="D64" s="3">
        <v>94</v>
      </c>
      <c r="E64" s="3">
        <v>100</v>
      </c>
    </row>
    <row r="65" spans="2:7" x14ac:dyDescent="0.6">
      <c r="B65">
        <v>1715769</v>
      </c>
      <c r="C65" t="s">
        <v>35</v>
      </c>
      <c r="D65" s="3">
        <v>55</v>
      </c>
      <c r="E65" s="3">
        <v>200</v>
      </c>
    </row>
    <row r="66" spans="2:7" x14ac:dyDescent="0.6">
      <c r="D66" s="4">
        <f>SUM(D60:D65)</f>
        <v>3391.3400000000006</v>
      </c>
      <c r="E66" s="4">
        <f>SUBTOTAL(9,E60:E65)</f>
        <v>7060.0000000000009</v>
      </c>
    </row>
    <row r="68" spans="2:7" x14ac:dyDescent="0.6">
      <c r="B68" s="7" t="s">
        <v>36</v>
      </c>
    </row>
    <row r="69" spans="2:7" x14ac:dyDescent="0.6">
      <c r="B69">
        <v>1715711</v>
      </c>
      <c r="C69" t="s">
        <v>40</v>
      </c>
      <c r="D69" s="3">
        <v>2500</v>
      </c>
      <c r="E69" s="3">
        <v>2500</v>
      </c>
      <c r="G69" t="s">
        <v>267</v>
      </c>
    </row>
    <row r="70" spans="2:7" x14ac:dyDescent="0.6">
      <c r="B70">
        <v>1715755</v>
      </c>
      <c r="C70" t="s">
        <v>42</v>
      </c>
      <c r="D70" s="3">
        <v>0</v>
      </c>
      <c r="E70" s="3">
        <v>2500</v>
      </c>
      <c r="G70" t="s">
        <v>66</v>
      </c>
    </row>
    <row r="71" spans="2:7" x14ac:dyDescent="0.6">
      <c r="B71">
        <v>1715706</v>
      </c>
      <c r="C71" t="s">
        <v>37</v>
      </c>
      <c r="D71" s="3">
        <v>0</v>
      </c>
      <c r="E71" s="3">
        <v>0</v>
      </c>
    </row>
    <row r="72" spans="2:7" x14ac:dyDescent="0.6">
      <c r="B72">
        <v>1715760</v>
      </c>
      <c r="C72" t="s">
        <v>43</v>
      </c>
      <c r="D72" s="3">
        <v>1249.44</v>
      </c>
      <c r="E72" s="3">
        <v>500</v>
      </c>
      <c r="G72" t="s">
        <v>54</v>
      </c>
    </row>
    <row r="73" spans="2:7" x14ac:dyDescent="0.6">
      <c r="B73">
        <v>1715763</v>
      </c>
      <c r="C73" t="s">
        <v>44</v>
      </c>
      <c r="D73" s="3">
        <v>0</v>
      </c>
      <c r="E73" s="3">
        <v>0</v>
      </c>
    </row>
    <row r="74" spans="2:7" x14ac:dyDescent="0.6">
      <c r="B74">
        <v>1715766</v>
      </c>
      <c r="C74" t="s">
        <v>45</v>
      </c>
      <c r="D74" s="3">
        <v>1161.44</v>
      </c>
      <c r="E74" s="3">
        <v>750</v>
      </c>
      <c r="G74" t="s">
        <v>48</v>
      </c>
    </row>
    <row r="75" spans="2:7" x14ac:dyDescent="0.6">
      <c r="B75">
        <v>1715773</v>
      </c>
      <c r="C75" t="s">
        <v>49</v>
      </c>
      <c r="D75" s="3">
        <v>7096.28</v>
      </c>
      <c r="E75" s="3">
        <v>7000</v>
      </c>
      <c r="G75" t="s">
        <v>50</v>
      </c>
    </row>
    <row r="76" spans="2:7" x14ac:dyDescent="0.6">
      <c r="B76">
        <v>1715774</v>
      </c>
      <c r="C76" t="s">
        <v>51</v>
      </c>
      <c r="D76" s="3">
        <v>695</v>
      </c>
      <c r="E76" s="3">
        <v>500</v>
      </c>
    </row>
    <row r="77" spans="2:7" x14ac:dyDescent="0.6">
      <c r="B77">
        <v>1715714</v>
      </c>
      <c r="D77" s="3">
        <v>850</v>
      </c>
      <c r="G77" t="s">
        <v>335</v>
      </c>
    </row>
    <row r="78" spans="2:7" x14ac:dyDescent="0.6">
      <c r="B78">
        <v>1715779</v>
      </c>
      <c r="C78" t="s">
        <v>59</v>
      </c>
      <c r="D78" s="3">
        <v>1122</v>
      </c>
      <c r="E78" s="3">
        <v>5000</v>
      </c>
      <c r="G78" t="s">
        <v>69</v>
      </c>
    </row>
    <row r="79" spans="2:7" x14ac:dyDescent="0.6">
      <c r="D79" s="4">
        <f>SUM(D69:D78)</f>
        <v>14674.16</v>
      </c>
      <c r="E79" s="4">
        <f>SUBTOTAL(9,E69:E78)</f>
        <v>18750</v>
      </c>
    </row>
    <row r="81" spans="1:7" x14ac:dyDescent="0.6">
      <c r="A81" s="7" t="s">
        <v>55</v>
      </c>
    </row>
    <row r="82" spans="1:7" x14ac:dyDescent="0.6">
      <c r="B82" s="7" t="s">
        <v>56</v>
      </c>
    </row>
    <row r="83" spans="1:7" x14ac:dyDescent="0.6">
      <c r="B83">
        <v>1715766</v>
      </c>
      <c r="C83" t="s">
        <v>46</v>
      </c>
      <c r="D83" s="3">
        <v>6165</v>
      </c>
      <c r="E83" s="3">
        <v>5565</v>
      </c>
    </row>
    <row r="84" spans="1:7" x14ac:dyDescent="0.6">
      <c r="B84">
        <v>1715766</v>
      </c>
      <c r="C84" t="s">
        <v>47</v>
      </c>
      <c r="D84" s="3">
        <v>3659.29</v>
      </c>
      <c r="E84" s="3">
        <v>2724</v>
      </c>
    </row>
    <row r="85" spans="1:7" x14ac:dyDescent="0.6">
      <c r="D85" s="4">
        <f>SUM(D83:D84)</f>
        <v>9824.2900000000009</v>
      </c>
      <c r="E85" s="4">
        <f>SUBTOTAL(9,E83:E84)</f>
        <v>8289</v>
      </c>
      <c r="G85" t="s">
        <v>57</v>
      </c>
    </row>
    <row r="87" spans="1:7" x14ac:dyDescent="0.6">
      <c r="B87" s="7" t="s">
        <v>58</v>
      </c>
    </row>
    <row r="88" spans="1:7" x14ac:dyDescent="0.6">
      <c r="B88">
        <v>1715779</v>
      </c>
      <c r="C88" t="s">
        <v>323</v>
      </c>
      <c r="D88" s="3">
        <v>9120.92</v>
      </c>
      <c r="G88" t="s">
        <v>332</v>
      </c>
    </row>
    <row r="89" spans="1:7" x14ac:dyDescent="0.6">
      <c r="B89">
        <v>1715779</v>
      </c>
      <c r="C89" t="s">
        <v>64</v>
      </c>
      <c r="D89" s="3">
        <v>18000</v>
      </c>
      <c r="E89" s="3">
        <v>10788</v>
      </c>
      <c r="G89" t="s">
        <v>340</v>
      </c>
    </row>
    <row r="90" spans="1:7" x14ac:dyDescent="0.6">
      <c r="B90">
        <v>1715779</v>
      </c>
      <c r="C90" t="s">
        <v>324</v>
      </c>
    </row>
    <row r="91" spans="1:7" x14ac:dyDescent="0.6">
      <c r="B91">
        <v>1715779</v>
      </c>
      <c r="C91" t="s">
        <v>334</v>
      </c>
      <c r="D91" s="3">
        <v>6660</v>
      </c>
      <c r="G91" t="s">
        <v>333</v>
      </c>
    </row>
    <row r="92" spans="1:7" x14ac:dyDescent="0.6">
      <c r="B92">
        <v>1715750</v>
      </c>
      <c r="C92" t="s">
        <v>325</v>
      </c>
      <c r="E92" s="3">
        <v>600</v>
      </c>
    </row>
    <row r="93" spans="1:7" x14ac:dyDescent="0.6">
      <c r="B93">
        <v>1715750</v>
      </c>
      <c r="C93" t="s">
        <v>326</v>
      </c>
      <c r="E93" s="5">
        <v>3000</v>
      </c>
      <c r="G93" t="s">
        <v>337</v>
      </c>
    </row>
    <row r="94" spans="1:7" x14ac:dyDescent="0.6">
      <c r="B94">
        <v>1715751</v>
      </c>
      <c r="C94" t="s">
        <v>41</v>
      </c>
    </row>
    <row r="95" spans="1:7" x14ac:dyDescent="0.6">
      <c r="B95">
        <v>1715773</v>
      </c>
      <c r="C95" t="s">
        <v>311</v>
      </c>
    </row>
    <row r="96" spans="1:7" x14ac:dyDescent="0.6">
      <c r="B96">
        <v>1715773</v>
      </c>
      <c r="C96" t="s">
        <v>312</v>
      </c>
    </row>
    <row r="97" spans="2:7" x14ac:dyDescent="0.6">
      <c r="B97">
        <v>1715714</v>
      </c>
      <c r="C97" t="s">
        <v>327</v>
      </c>
    </row>
    <row r="98" spans="2:7" x14ac:dyDescent="0.6">
      <c r="B98">
        <v>1715709</v>
      </c>
      <c r="C98" t="s">
        <v>60</v>
      </c>
      <c r="E98" s="3">
        <v>350</v>
      </c>
    </row>
    <row r="99" spans="2:7" x14ac:dyDescent="0.6">
      <c r="B99">
        <v>1715767</v>
      </c>
      <c r="C99" t="s">
        <v>61</v>
      </c>
      <c r="D99" s="3">
        <v>1605.94</v>
      </c>
      <c r="E99" s="3">
        <v>300</v>
      </c>
      <c r="G99" t="s">
        <v>63</v>
      </c>
    </row>
    <row r="100" spans="2:7" x14ac:dyDescent="0.6">
      <c r="B100">
        <v>1715772</v>
      </c>
      <c r="C100" t="s">
        <v>62</v>
      </c>
      <c r="D100" s="3">
        <v>718.4</v>
      </c>
      <c r="E100" s="3">
        <v>0</v>
      </c>
    </row>
    <row r="101" spans="2:7" x14ac:dyDescent="0.6">
      <c r="D101" s="4">
        <f>SUM(D88:D100)</f>
        <v>36105.26</v>
      </c>
      <c r="E101" s="4">
        <f>SUBTOTAL(9,E89:E100)</f>
        <v>15038</v>
      </c>
      <c r="G101" t="s">
        <v>338</v>
      </c>
    </row>
    <row r="103" spans="2:7" x14ac:dyDescent="0.6">
      <c r="B103" s="7" t="s">
        <v>65</v>
      </c>
      <c r="D103" s="4">
        <v>55241</v>
      </c>
      <c r="E103" s="4">
        <v>63840</v>
      </c>
      <c r="G103" t="s">
        <v>268</v>
      </c>
    </row>
    <row r="104" spans="2:7" x14ac:dyDescent="0.6">
      <c r="B104" s="7"/>
      <c r="D104" s="4"/>
      <c r="E104" s="4"/>
    </row>
    <row r="105" spans="2:7" x14ac:dyDescent="0.6">
      <c r="B105" s="7"/>
      <c r="D105" s="4"/>
      <c r="E105" s="4"/>
    </row>
    <row r="107" spans="2:7" x14ac:dyDescent="0.6">
      <c r="B107" s="96" t="s">
        <v>269</v>
      </c>
      <c r="C107" s="8"/>
    </row>
    <row r="108" spans="2:7" x14ac:dyDescent="0.6">
      <c r="B108" s="8"/>
      <c r="C108" s="8" t="s">
        <v>273</v>
      </c>
      <c r="D108" s="3">
        <v>3250</v>
      </c>
      <c r="E108" s="45">
        <v>13555</v>
      </c>
    </row>
    <row r="109" spans="2:7" x14ac:dyDescent="0.6">
      <c r="B109" s="8"/>
      <c r="C109" s="8" t="s">
        <v>265</v>
      </c>
      <c r="E109" s="5">
        <v>57940</v>
      </c>
      <c r="G109" t="s">
        <v>339</v>
      </c>
    </row>
    <row r="110" spans="2:7" x14ac:dyDescent="0.6">
      <c r="E110" s="6">
        <f>SUBTOTAL(9,E109:E109)</f>
        <v>57940</v>
      </c>
    </row>
    <row r="111" spans="2:7" x14ac:dyDescent="0.6">
      <c r="E111" s="6"/>
    </row>
    <row r="112" spans="2:7" x14ac:dyDescent="0.6">
      <c r="B112" s="7" t="s">
        <v>308</v>
      </c>
      <c r="E112" s="6"/>
      <c r="G112" t="s">
        <v>309</v>
      </c>
    </row>
    <row r="113" spans="1:7" x14ac:dyDescent="0.6">
      <c r="E113" s="6"/>
    </row>
    <row r="115" spans="1:7" x14ac:dyDescent="0.6">
      <c r="A115" t="s">
        <v>72</v>
      </c>
      <c r="D115" s="4">
        <f>SUM(D57+D66+D79+D85+D101+D103+D108)</f>
        <v>150117.70000000001</v>
      </c>
      <c r="E115" s="4">
        <f>SUM(E57+E66+E79+E85+E101+E103+E110)</f>
        <v>241452</v>
      </c>
    </row>
    <row r="118" spans="1:7" x14ac:dyDescent="0.6">
      <c r="C118" t="s">
        <v>73</v>
      </c>
      <c r="E118" s="3">
        <v>11000</v>
      </c>
    </row>
    <row r="119" spans="1:7" x14ac:dyDescent="0.6">
      <c r="C119" t="s">
        <v>90</v>
      </c>
      <c r="D119" s="3">
        <v>25000</v>
      </c>
      <c r="E119" s="3">
        <v>25000</v>
      </c>
      <c r="G119" t="s">
        <v>307</v>
      </c>
    </row>
    <row r="121" spans="1:7" x14ac:dyDescent="0.6">
      <c r="A121" t="s">
        <v>74</v>
      </c>
      <c r="B121" t="s">
        <v>306</v>
      </c>
      <c r="D121" s="3">
        <f>(D42-D115)-D119</f>
        <v>61791.349999999977</v>
      </c>
      <c r="E121" s="3">
        <f>(E42-E115)-(E118+E119)</f>
        <v>26262.049999999988</v>
      </c>
      <c r="G121" t="s">
        <v>310</v>
      </c>
    </row>
    <row r="124" spans="1:7" x14ac:dyDescent="0.6">
      <c r="D124" s="3">
        <v>84823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118"/>
  <sheetViews>
    <sheetView topLeftCell="A44" workbookViewId="0">
      <selection activeCell="B68" sqref="B68"/>
    </sheetView>
  </sheetViews>
  <sheetFormatPr defaultColWidth="10.796875" defaultRowHeight="15.6" x14ac:dyDescent="0.6"/>
  <cols>
    <col min="1" max="1" width="25" bestFit="1" customWidth="1"/>
    <col min="2" max="2" width="19.5" style="103" customWidth="1"/>
    <col min="3" max="3" width="17.34765625" style="139" customWidth="1"/>
    <col min="4" max="4" width="17.34765625" style="140" customWidth="1"/>
    <col min="5" max="5" width="17.34765625" style="148" customWidth="1"/>
    <col min="6" max="6" width="12.5" style="141" bestFit="1" customWidth="1"/>
    <col min="7" max="7" width="12.5" style="142" bestFit="1" customWidth="1"/>
  </cols>
  <sheetData>
    <row r="1" spans="1:12" x14ac:dyDescent="0.6">
      <c r="A1" t="s">
        <v>341</v>
      </c>
      <c r="C1" s="104"/>
      <c r="D1" s="105"/>
      <c r="E1" s="143"/>
      <c r="F1" s="106"/>
      <c r="G1" s="23"/>
    </row>
    <row r="2" spans="1:12" x14ac:dyDescent="0.6">
      <c r="B2" s="103" t="s">
        <v>342</v>
      </c>
      <c r="C2" s="104" t="s">
        <v>165</v>
      </c>
      <c r="D2" s="105" t="s">
        <v>20</v>
      </c>
      <c r="E2" s="143" t="s">
        <v>343</v>
      </c>
      <c r="F2" s="106"/>
      <c r="G2" s="23"/>
    </row>
    <row r="3" spans="1:12" x14ac:dyDescent="0.6">
      <c r="C3" s="104"/>
      <c r="D3" s="105"/>
      <c r="E3" s="143"/>
      <c r="F3" s="106"/>
      <c r="G3" s="23"/>
    </row>
    <row r="4" spans="1:12" s="25" customFormat="1" x14ac:dyDescent="0.6">
      <c r="A4" s="24" t="s">
        <v>175</v>
      </c>
      <c r="B4" s="107">
        <f>SUM(B5:B7)</f>
        <v>60</v>
      </c>
      <c r="C4" s="104"/>
      <c r="D4" s="105"/>
      <c r="E4" s="143"/>
      <c r="F4" s="106"/>
      <c r="G4" s="23"/>
    </row>
    <row r="5" spans="1:12" s="25" customFormat="1" x14ac:dyDescent="0.6">
      <c r="A5" s="25" t="s">
        <v>344</v>
      </c>
      <c r="B5" s="108">
        <v>20</v>
      </c>
      <c r="C5" s="109"/>
      <c r="D5" s="110"/>
      <c r="E5" s="144"/>
      <c r="F5" s="106"/>
      <c r="G5" s="23"/>
    </row>
    <row r="6" spans="1:12" s="25" customFormat="1" x14ac:dyDescent="0.6">
      <c r="A6" s="25" t="s">
        <v>176</v>
      </c>
      <c r="B6" s="108">
        <v>20</v>
      </c>
      <c r="C6" s="109"/>
      <c r="D6" s="110"/>
      <c r="E6" s="144"/>
      <c r="F6" s="106"/>
      <c r="G6" s="23"/>
    </row>
    <row r="7" spans="1:12" s="25" customFormat="1" x14ac:dyDescent="0.6">
      <c r="A7" s="25" t="s">
        <v>177</v>
      </c>
      <c r="B7" s="108">
        <v>20</v>
      </c>
      <c r="C7" s="109"/>
      <c r="D7" s="110"/>
      <c r="E7" s="144"/>
      <c r="F7" s="106"/>
      <c r="G7" s="23"/>
    </row>
    <row r="8" spans="1:12" s="26" customFormat="1" x14ac:dyDescent="0.6">
      <c r="A8" s="26" t="s">
        <v>178</v>
      </c>
      <c r="B8" s="111">
        <f>SUM(B9:B11)</f>
        <v>290</v>
      </c>
      <c r="C8" s="112">
        <v>175</v>
      </c>
      <c r="D8" s="113">
        <v>100</v>
      </c>
      <c r="E8" s="145"/>
      <c r="F8" s="114"/>
    </row>
    <row r="9" spans="1:12" s="27" customFormat="1" x14ac:dyDescent="0.6">
      <c r="A9" s="27" t="s">
        <v>179</v>
      </c>
      <c r="B9" s="108">
        <v>10</v>
      </c>
      <c r="C9" s="109"/>
      <c r="D9" s="110"/>
      <c r="E9" s="144"/>
      <c r="F9" s="115"/>
    </row>
    <row r="10" spans="1:12" s="27" customFormat="1" x14ac:dyDescent="0.6">
      <c r="A10" s="27" t="s">
        <v>345</v>
      </c>
      <c r="B10" s="108">
        <v>5</v>
      </c>
      <c r="C10" s="109"/>
      <c r="D10" s="110"/>
      <c r="E10" s="144"/>
      <c r="F10" s="115"/>
    </row>
    <row r="11" spans="1:12" s="25" customFormat="1" x14ac:dyDescent="0.6">
      <c r="A11" s="25" t="s">
        <v>346</v>
      </c>
      <c r="B11" s="108">
        <f>C11+D11</f>
        <v>275</v>
      </c>
      <c r="C11" s="109">
        <v>175</v>
      </c>
      <c r="D11" s="110">
        <v>100</v>
      </c>
      <c r="E11" s="144"/>
      <c r="F11" s="106"/>
      <c r="G11" s="23"/>
    </row>
    <row r="12" spans="1:12" s="24" customFormat="1" x14ac:dyDescent="0.6">
      <c r="A12" s="24" t="s">
        <v>180</v>
      </c>
      <c r="B12" s="107">
        <f>B4+B8</f>
        <v>350</v>
      </c>
      <c r="C12" s="116"/>
      <c r="D12" s="117"/>
      <c r="E12" s="146"/>
      <c r="F12" s="118"/>
      <c r="G12" s="28"/>
    </row>
    <row r="13" spans="1:12" x14ac:dyDescent="0.6">
      <c r="C13" s="104"/>
      <c r="D13" s="105"/>
      <c r="E13" s="143"/>
      <c r="F13" s="119" t="s">
        <v>20</v>
      </c>
      <c r="G13" s="120" t="s">
        <v>20</v>
      </c>
    </row>
    <row r="14" spans="1:12" x14ac:dyDescent="0.6">
      <c r="A14" s="29" t="s">
        <v>181</v>
      </c>
      <c r="B14" s="121" t="s">
        <v>347</v>
      </c>
      <c r="C14" s="122" t="s">
        <v>348</v>
      </c>
      <c r="D14" s="123" t="s">
        <v>349</v>
      </c>
      <c r="E14" s="147"/>
      <c r="F14" s="124" t="s">
        <v>182</v>
      </c>
      <c r="G14" s="124" t="s">
        <v>350</v>
      </c>
      <c r="H14" s="29"/>
      <c r="I14" s="29"/>
      <c r="J14" s="29"/>
    </row>
    <row r="15" spans="1:12" x14ac:dyDescent="0.6">
      <c r="C15" s="104"/>
      <c r="D15" s="105"/>
      <c r="E15" s="143"/>
      <c r="F15" s="119"/>
      <c r="G15" s="120"/>
      <c r="J15" s="25"/>
      <c r="L15" s="25"/>
    </row>
    <row r="16" spans="1:12" x14ac:dyDescent="0.6">
      <c r="A16" t="s">
        <v>183</v>
      </c>
      <c r="B16" s="103">
        <f>C16+D16</f>
        <v>10000</v>
      </c>
      <c r="C16" s="104">
        <v>5000</v>
      </c>
      <c r="D16" s="105">
        <v>5000</v>
      </c>
      <c r="E16" s="143">
        <v>0</v>
      </c>
      <c r="F16" s="119">
        <v>10050</v>
      </c>
      <c r="G16" s="120">
        <v>1500</v>
      </c>
    </row>
    <row r="17" spans="1:16" x14ac:dyDescent="0.6">
      <c r="A17" t="s">
        <v>184</v>
      </c>
      <c r="B17" s="103">
        <v>4000</v>
      </c>
      <c r="C17" s="104">
        <v>3000</v>
      </c>
      <c r="D17" s="105">
        <v>1000</v>
      </c>
      <c r="E17" s="143">
        <v>1000</v>
      </c>
      <c r="F17" s="119"/>
      <c r="G17" s="120"/>
    </row>
    <row r="18" spans="1:16" x14ac:dyDescent="0.6">
      <c r="A18" t="s">
        <v>185</v>
      </c>
      <c r="B18" s="103">
        <f>(B9*250)+(B10*100)</f>
        <v>3000</v>
      </c>
      <c r="C18" s="104">
        <v>0</v>
      </c>
      <c r="D18" s="105">
        <v>0</v>
      </c>
      <c r="E18" s="143">
        <v>500</v>
      </c>
      <c r="F18" s="119">
        <v>1300</v>
      </c>
      <c r="G18" s="120">
        <v>785</v>
      </c>
      <c r="H18" t="s">
        <v>351</v>
      </c>
    </row>
    <row r="19" spans="1:16" x14ac:dyDescent="0.6">
      <c r="A19" t="s">
        <v>186</v>
      </c>
      <c r="B19" s="103">
        <f>C19+D19</f>
        <v>46875</v>
      </c>
      <c r="C19" s="104">
        <f>C8*225</f>
        <v>39375</v>
      </c>
      <c r="D19" s="105">
        <f>D8*75</f>
        <v>7500</v>
      </c>
      <c r="E19" s="143">
        <v>7500</v>
      </c>
      <c r="F19" s="119">
        <v>0</v>
      </c>
      <c r="G19" s="120">
        <v>0</v>
      </c>
      <c r="H19" t="s">
        <v>352</v>
      </c>
    </row>
    <row r="20" spans="1:16" x14ac:dyDescent="0.6">
      <c r="A20" t="s">
        <v>187</v>
      </c>
      <c r="B20" s="103">
        <v>0</v>
      </c>
      <c r="C20" s="104">
        <v>0</v>
      </c>
      <c r="D20" s="105">
        <v>0</v>
      </c>
      <c r="E20" s="143">
        <v>0</v>
      </c>
      <c r="F20" s="119">
        <v>0</v>
      </c>
      <c r="G20" s="120">
        <v>1000</v>
      </c>
      <c r="H20" t="s">
        <v>353</v>
      </c>
    </row>
    <row r="21" spans="1:16" x14ac:dyDescent="0.6">
      <c r="A21" t="s">
        <v>188</v>
      </c>
      <c r="B21" s="103">
        <v>0</v>
      </c>
      <c r="C21" s="104">
        <v>0</v>
      </c>
      <c r="D21" s="105">
        <v>0</v>
      </c>
      <c r="E21" s="143">
        <v>0</v>
      </c>
      <c r="F21" s="119">
        <v>200</v>
      </c>
      <c r="G21" s="120"/>
      <c r="H21" t="s">
        <v>354</v>
      </c>
    </row>
    <row r="22" spans="1:16" x14ac:dyDescent="0.6">
      <c r="A22" t="s">
        <v>355</v>
      </c>
      <c r="C22" s="104"/>
      <c r="D22" s="105"/>
      <c r="E22" s="143">
        <f>-SUM(E16:E21)</f>
        <v>-9000</v>
      </c>
      <c r="F22" s="119"/>
      <c r="G22" s="120"/>
    </row>
    <row r="23" spans="1:16" x14ac:dyDescent="0.6">
      <c r="A23" s="29" t="s">
        <v>78</v>
      </c>
      <c r="B23" s="121">
        <f>SUM(B16:B21)</f>
        <v>63875</v>
      </c>
      <c r="C23" s="122">
        <f>SUM(C16:C21)</f>
        <v>47375</v>
      </c>
      <c r="D23" s="123">
        <f>SUM(D16:D21)</f>
        <v>13500</v>
      </c>
      <c r="E23" s="147">
        <v>0</v>
      </c>
      <c r="F23" s="124">
        <f>SUM(F16:F21)</f>
        <v>11550</v>
      </c>
      <c r="G23" s="124">
        <f>SUM(G16:G20)</f>
        <v>3285</v>
      </c>
      <c r="H23" s="29"/>
      <c r="I23" s="29"/>
      <c r="J23" s="29"/>
    </row>
    <row r="24" spans="1:16" x14ac:dyDescent="0.6">
      <c r="C24" s="104"/>
      <c r="D24" s="105"/>
      <c r="E24" s="143"/>
      <c r="F24" s="119"/>
      <c r="G24" s="120"/>
      <c r="L24" t="s">
        <v>356</v>
      </c>
      <c r="N24" t="s">
        <v>357</v>
      </c>
      <c r="O24" t="s">
        <v>358</v>
      </c>
      <c r="P24" t="s">
        <v>359</v>
      </c>
    </row>
    <row r="25" spans="1:16" x14ac:dyDescent="0.6">
      <c r="A25" s="29" t="s">
        <v>189</v>
      </c>
      <c r="B25" s="121"/>
      <c r="C25" s="122"/>
      <c r="D25" s="123"/>
      <c r="E25" s="147"/>
      <c r="F25" s="124"/>
      <c r="G25" s="124"/>
      <c r="H25" s="29"/>
      <c r="I25" s="29"/>
      <c r="J25" s="29"/>
      <c r="K25" t="s">
        <v>360</v>
      </c>
      <c r="L25" s="10">
        <f>B40</f>
        <v>30000</v>
      </c>
      <c r="M25" s="3">
        <f>I40</f>
        <v>85.714285714285708</v>
      </c>
      <c r="N25" s="10">
        <f>M25*C8</f>
        <v>14999.999999999998</v>
      </c>
      <c r="O25" s="10">
        <f>M25*D8</f>
        <v>8571.4285714285706</v>
      </c>
      <c r="P25" s="10">
        <f>M25*(B12-(C8+D8))</f>
        <v>6428.5714285714284</v>
      </c>
    </row>
    <row r="26" spans="1:16" x14ac:dyDescent="0.6">
      <c r="C26" s="104"/>
      <c r="D26" s="105"/>
      <c r="E26" s="143"/>
      <c r="F26" s="119"/>
      <c r="G26" s="120"/>
      <c r="K26" t="s">
        <v>359</v>
      </c>
      <c r="L26" s="10">
        <f>P25</f>
        <v>6428.5714285714284</v>
      </c>
      <c r="N26" s="10">
        <f>P25*(C8/B8)</f>
        <v>3879.3103448275861</v>
      </c>
      <c r="O26" s="10">
        <f>P25*(D8/B8)</f>
        <v>2216.7487684729067</v>
      </c>
    </row>
    <row r="27" spans="1:16" x14ac:dyDescent="0.6">
      <c r="A27" s="30" t="s">
        <v>190</v>
      </c>
      <c r="B27" s="125"/>
      <c r="C27" s="104"/>
      <c r="D27" s="105"/>
      <c r="E27" s="143"/>
      <c r="F27" s="119"/>
      <c r="G27" s="120"/>
      <c r="K27" t="s">
        <v>361</v>
      </c>
      <c r="N27" s="10">
        <f>SUM(N25:N26)</f>
        <v>18879.310344827583</v>
      </c>
      <c r="O27" s="10">
        <f>SUM(O25:O26)</f>
        <v>10788.177339901478</v>
      </c>
      <c r="P27" s="10"/>
    </row>
    <row r="28" spans="1:16" x14ac:dyDescent="0.6">
      <c r="A28" s="31" t="s">
        <v>362</v>
      </c>
      <c r="B28" s="126">
        <v>0</v>
      </c>
      <c r="C28" s="127">
        <v>0</v>
      </c>
      <c r="D28" s="128">
        <v>0</v>
      </c>
      <c r="E28" s="143"/>
      <c r="F28" s="119">
        <v>0</v>
      </c>
      <c r="G28" s="129">
        <v>0</v>
      </c>
      <c r="H28" s="31" t="s">
        <v>363</v>
      </c>
      <c r="I28" s="31"/>
      <c r="J28" s="31"/>
    </row>
    <row r="29" spans="1:16" x14ac:dyDescent="0.6">
      <c r="A29" s="31" t="s">
        <v>364</v>
      </c>
      <c r="B29" s="126">
        <v>0</v>
      </c>
      <c r="C29" s="127">
        <v>0</v>
      </c>
      <c r="D29" s="128">
        <v>0</v>
      </c>
      <c r="E29" s="143"/>
      <c r="F29" s="119">
        <v>5247.5</v>
      </c>
      <c r="G29" s="129">
        <v>0</v>
      </c>
      <c r="H29" s="31" t="s">
        <v>365</v>
      </c>
      <c r="I29" s="31"/>
      <c r="J29" s="31"/>
    </row>
    <row r="30" spans="1:16" x14ac:dyDescent="0.6">
      <c r="A30" s="31" t="s">
        <v>366</v>
      </c>
      <c r="B30" s="126">
        <v>0</v>
      </c>
      <c r="C30" s="127">
        <v>0</v>
      </c>
      <c r="D30" s="128">
        <v>0</v>
      </c>
      <c r="E30" s="143"/>
      <c r="F30" s="119">
        <v>0</v>
      </c>
      <c r="G30" s="129">
        <v>0</v>
      </c>
      <c r="H30" s="130" t="s">
        <v>367</v>
      </c>
      <c r="I30" s="31"/>
      <c r="J30" s="31"/>
    </row>
    <row r="31" spans="1:16" x14ac:dyDescent="0.6">
      <c r="A31" s="31" t="s">
        <v>368</v>
      </c>
      <c r="B31" s="126">
        <v>0</v>
      </c>
      <c r="C31" s="127">
        <v>0</v>
      </c>
      <c r="D31" s="128">
        <v>0</v>
      </c>
      <c r="E31" s="143"/>
      <c r="F31" s="119">
        <v>531.57000000000005</v>
      </c>
      <c r="G31" s="129">
        <v>0</v>
      </c>
      <c r="H31" s="130"/>
      <c r="I31" s="31"/>
      <c r="J31" s="31"/>
    </row>
    <row r="32" spans="1:16" x14ac:dyDescent="0.6">
      <c r="A32" s="30" t="s">
        <v>191</v>
      </c>
      <c r="B32" s="126">
        <f>SUM(B27:B30)</f>
        <v>0</v>
      </c>
      <c r="C32" s="127">
        <f>SUM(C27:C30)</f>
        <v>0</v>
      </c>
      <c r="D32" s="128">
        <f>SUM(D27:D30)</f>
        <v>0</v>
      </c>
      <c r="E32" s="143"/>
      <c r="F32" s="119">
        <f>SUM(F28:F31)</f>
        <v>5779.07</v>
      </c>
      <c r="G32" s="129">
        <f>SUM(G27:G31)</f>
        <v>0</v>
      </c>
      <c r="H32" s="31"/>
      <c r="I32" s="31"/>
      <c r="J32" s="31"/>
    </row>
    <row r="33" spans="1:15" x14ac:dyDescent="0.6">
      <c r="C33" s="104"/>
      <c r="D33" s="105"/>
      <c r="E33" s="143"/>
      <c r="F33" s="119"/>
      <c r="G33" s="120"/>
    </row>
    <row r="34" spans="1:15" x14ac:dyDescent="0.6">
      <c r="A34" s="30" t="s">
        <v>192</v>
      </c>
      <c r="B34" s="125"/>
      <c r="C34" s="104"/>
      <c r="D34" s="105"/>
      <c r="E34" s="143"/>
      <c r="F34" s="119"/>
      <c r="G34" s="120"/>
    </row>
    <row r="35" spans="1:15" x14ac:dyDescent="0.6">
      <c r="A35" t="s">
        <v>193</v>
      </c>
      <c r="C35" s="104"/>
      <c r="D35" s="105"/>
      <c r="E35" s="143"/>
      <c r="F35" s="119">
        <v>1225.6500000000001</v>
      </c>
      <c r="G35" s="120">
        <v>1020</v>
      </c>
      <c r="H35" t="s">
        <v>369</v>
      </c>
    </row>
    <row r="36" spans="1:15" x14ac:dyDescent="0.6">
      <c r="A36" t="s">
        <v>362</v>
      </c>
      <c r="C36" s="104"/>
      <c r="D36" s="105"/>
      <c r="E36" s="143"/>
      <c r="F36" s="119">
        <v>587</v>
      </c>
      <c r="G36" s="120">
        <v>1500</v>
      </c>
      <c r="H36" t="s">
        <v>370</v>
      </c>
    </row>
    <row r="37" spans="1:15" x14ac:dyDescent="0.6">
      <c r="A37" t="s">
        <v>194</v>
      </c>
      <c r="C37" s="104"/>
      <c r="D37" s="105"/>
      <c r="E37" s="143"/>
      <c r="F37" s="119">
        <v>1684.84</v>
      </c>
      <c r="G37" s="120">
        <v>2700</v>
      </c>
      <c r="H37" t="s">
        <v>371</v>
      </c>
    </row>
    <row r="38" spans="1:15" x14ac:dyDescent="0.6">
      <c r="A38" t="s">
        <v>372</v>
      </c>
      <c r="C38" s="104"/>
      <c r="D38" s="105"/>
      <c r="E38" s="143"/>
      <c r="F38" s="119">
        <v>307.75</v>
      </c>
      <c r="G38" s="120">
        <v>0</v>
      </c>
      <c r="H38" t="s">
        <v>373</v>
      </c>
      <c r="J38" s="10"/>
    </row>
    <row r="39" spans="1:15" x14ac:dyDescent="0.6">
      <c r="A39" t="s">
        <v>195</v>
      </c>
      <c r="C39" s="104"/>
      <c r="D39" s="105"/>
      <c r="E39" s="143"/>
      <c r="F39" s="119">
        <v>1684.84</v>
      </c>
      <c r="G39" s="120"/>
      <c r="H39" t="s">
        <v>374</v>
      </c>
    </row>
    <row r="40" spans="1:15" x14ac:dyDescent="0.6">
      <c r="A40" s="30" t="s">
        <v>191</v>
      </c>
      <c r="B40" s="131">
        <v>30000</v>
      </c>
      <c r="C40" s="104">
        <f>N27</f>
        <v>18879.310344827583</v>
      </c>
      <c r="D40" s="105">
        <f>O27</f>
        <v>10788.177339901478</v>
      </c>
      <c r="E40" s="143"/>
      <c r="F40" s="119">
        <f>SUM(F35:F39)</f>
        <v>5490.08</v>
      </c>
      <c r="G40" s="120">
        <f>SUM(G35:G38)</f>
        <v>5220</v>
      </c>
      <c r="H40" t="s">
        <v>375</v>
      </c>
      <c r="I40" s="3">
        <f>B40/B12</f>
        <v>85.714285714285708</v>
      </c>
    </row>
    <row r="41" spans="1:15" x14ac:dyDescent="0.6">
      <c r="A41" s="30"/>
      <c r="B41" s="125"/>
      <c r="C41" s="104"/>
      <c r="D41" s="105"/>
      <c r="E41" s="143"/>
      <c r="F41" s="119"/>
      <c r="G41" s="120"/>
      <c r="O41" s="10"/>
    </row>
    <row r="42" spans="1:15" x14ac:dyDescent="0.6">
      <c r="A42" s="30" t="s">
        <v>196</v>
      </c>
      <c r="B42" s="125"/>
      <c r="C42" s="104"/>
      <c r="D42" s="105"/>
      <c r="E42" s="143"/>
      <c r="F42" s="119"/>
      <c r="G42" s="120"/>
    </row>
    <row r="43" spans="1:15" x14ac:dyDescent="0.6">
      <c r="A43" t="s">
        <v>197</v>
      </c>
      <c r="B43" s="103">
        <v>4000</v>
      </c>
      <c r="C43" s="104">
        <v>1500</v>
      </c>
      <c r="D43" s="105">
        <v>2500</v>
      </c>
      <c r="E43" s="143"/>
      <c r="F43" s="119">
        <v>4079</v>
      </c>
      <c r="G43" s="120">
        <v>1500</v>
      </c>
      <c r="H43" t="s">
        <v>376</v>
      </c>
    </row>
    <row r="44" spans="1:15" x14ac:dyDescent="0.6">
      <c r="A44" t="s">
        <v>198</v>
      </c>
      <c r="B44" s="103">
        <v>1500</v>
      </c>
      <c r="C44" s="104">
        <v>1500</v>
      </c>
      <c r="D44" s="105">
        <v>0</v>
      </c>
      <c r="E44" s="143">
        <v>0</v>
      </c>
      <c r="F44" s="119">
        <v>1101</v>
      </c>
      <c r="G44" s="120">
        <v>1200</v>
      </c>
      <c r="H44" t="s">
        <v>377</v>
      </c>
    </row>
    <row r="45" spans="1:15" x14ac:dyDescent="0.6">
      <c r="A45" t="s">
        <v>378</v>
      </c>
      <c r="B45" s="103">
        <v>2250</v>
      </c>
      <c r="C45" s="104">
        <v>1500</v>
      </c>
      <c r="D45" s="105">
        <v>750</v>
      </c>
      <c r="E45" s="143"/>
      <c r="F45" s="119">
        <v>0</v>
      </c>
      <c r="G45" s="120">
        <v>400</v>
      </c>
      <c r="M45" s="10"/>
    </row>
    <row r="46" spans="1:15" x14ac:dyDescent="0.6">
      <c r="A46" s="30" t="s">
        <v>191</v>
      </c>
      <c r="B46" s="103">
        <f>SUM(B43:B45)</f>
        <v>7750</v>
      </c>
      <c r="C46" s="104">
        <f>SUM(C43:C45)</f>
        <v>4500</v>
      </c>
      <c r="D46" s="105">
        <f>SUM(D43:D45)</f>
        <v>3250</v>
      </c>
      <c r="E46" s="143"/>
      <c r="F46" s="119">
        <f>SUM(F43:F45)</f>
        <v>5180</v>
      </c>
      <c r="G46" s="120">
        <f>SUM(G43:G45)</f>
        <v>3100</v>
      </c>
    </row>
    <row r="47" spans="1:15" x14ac:dyDescent="0.6">
      <c r="C47" s="104"/>
      <c r="D47" s="105"/>
      <c r="E47" s="143"/>
      <c r="F47" s="119"/>
      <c r="G47" s="120"/>
    </row>
    <row r="48" spans="1:15" x14ac:dyDescent="0.6">
      <c r="A48" s="30" t="s">
        <v>199</v>
      </c>
      <c r="B48" s="125"/>
      <c r="C48" s="104"/>
      <c r="D48" s="105"/>
      <c r="E48" s="143"/>
      <c r="F48" s="119"/>
      <c r="G48" s="120"/>
    </row>
    <row r="49" spans="1:12" x14ac:dyDescent="0.6">
      <c r="A49" s="31" t="s">
        <v>379</v>
      </c>
      <c r="B49" s="126">
        <v>600</v>
      </c>
      <c r="C49" s="104">
        <v>0</v>
      </c>
      <c r="D49" s="105">
        <v>600</v>
      </c>
      <c r="E49" s="143">
        <v>0</v>
      </c>
      <c r="F49" s="119">
        <v>600</v>
      </c>
      <c r="G49" s="120">
        <v>0</v>
      </c>
      <c r="L49" s="10"/>
    </row>
    <row r="50" spans="1:12" x14ac:dyDescent="0.6">
      <c r="A50" s="31" t="s">
        <v>200</v>
      </c>
      <c r="B50" s="126">
        <v>700</v>
      </c>
      <c r="C50" s="104">
        <v>350</v>
      </c>
      <c r="D50" s="105">
        <v>350</v>
      </c>
      <c r="E50" s="143"/>
      <c r="F50" s="119">
        <v>649</v>
      </c>
      <c r="G50" s="120">
        <v>0</v>
      </c>
      <c r="H50" t="s">
        <v>380</v>
      </c>
    </row>
    <row r="51" spans="1:12" x14ac:dyDescent="0.6">
      <c r="A51" t="s">
        <v>201</v>
      </c>
      <c r="B51" s="103">
        <v>200</v>
      </c>
      <c r="C51" s="104">
        <v>200</v>
      </c>
      <c r="D51" s="105">
        <v>200</v>
      </c>
      <c r="E51" s="143"/>
      <c r="F51" s="119">
        <v>271.04000000000002</v>
      </c>
      <c r="G51" s="120">
        <v>300</v>
      </c>
      <c r="H51" t="s">
        <v>381</v>
      </c>
    </row>
    <row r="52" spans="1:12" x14ac:dyDescent="0.6">
      <c r="A52" t="s">
        <v>382</v>
      </c>
      <c r="B52" s="103">
        <v>0</v>
      </c>
      <c r="C52" s="104">
        <v>100</v>
      </c>
      <c r="D52" s="105">
        <v>100</v>
      </c>
      <c r="E52" s="143"/>
      <c r="F52" s="119">
        <v>247</v>
      </c>
      <c r="G52" s="120"/>
    </row>
    <row r="53" spans="1:12" x14ac:dyDescent="0.6">
      <c r="A53" t="s">
        <v>202</v>
      </c>
      <c r="B53" s="103">
        <v>0</v>
      </c>
      <c r="C53" s="104">
        <v>0</v>
      </c>
      <c r="D53" s="105">
        <v>0</v>
      </c>
      <c r="E53" s="143"/>
      <c r="F53" s="119">
        <v>20</v>
      </c>
      <c r="G53" s="120">
        <v>100</v>
      </c>
      <c r="H53" t="s">
        <v>383</v>
      </c>
    </row>
    <row r="54" spans="1:12" s="8" customFormat="1" x14ac:dyDescent="0.6">
      <c r="A54" s="8" t="s">
        <v>384</v>
      </c>
      <c r="B54" s="132">
        <v>8000</v>
      </c>
      <c r="C54" s="133">
        <v>5000</v>
      </c>
      <c r="D54" s="134">
        <v>3000</v>
      </c>
      <c r="E54" s="143"/>
      <c r="F54" s="135">
        <v>96</v>
      </c>
      <c r="G54" s="135">
        <v>1035</v>
      </c>
      <c r="H54" s="8" t="s">
        <v>385</v>
      </c>
    </row>
    <row r="55" spans="1:12" x14ac:dyDescent="0.6">
      <c r="A55" s="30" t="s">
        <v>191</v>
      </c>
      <c r="B55" s="131">
        <f>SUM(B49:B54)</f>
        <v>9500</v>
      </c>
      <c r="C55" s="104">
        <f>SUM(C49:C54)</f>
        <v>5650</v>
      </c>
      <c r="D55" s="105">
        <f>SUM(D49:D54)</f>
        <v>4250</v>
      </c>
      <c r="E55" s="143"/>
      <c r="F55" s="119">
        <f>SUM(F49:F54)</f>
        <v>1883.04</v>
      </c>
      <c r="G55" s="120">
        <f>SUM(G51:G54)</f>
        <v>1435</v>
      </c>
    </row>
    <row r="56" spans="1:12" x14ac:dyDescent="0.6">
      <c r="C56" s="104"/>
      <c r="D56" s="105"/>
      <c r="E56" s="143"/>
      <c r="F56" s="119"/>
      <c r="G56" s="120"/>
    </row>
    <row r="57" spans="1:12" x14ac:dyDescent="0.6">
      <c r="A57" s="29" t="s">
        <v>203</v>
      </c>
      <c r="B57" s="121">
        <f>B32+B40+B46+B55</f>
        <v>47250</v>
      </c>
      <c r="C57" s="122">
        <f>C32+C40+C46+C55</f>
        <v>29029.310344827583</v>
      </c>
      <c r="D57" s="123">
        <f>D32+D40+D46+D55</f>
        <v>18288.177339901478</v>
      </c>
      <c r="E57" s="147">
        <v>18000</v>
      </c>
      <c r="F57" s="124">
        <f>F32+F40+F46+F55</f>
        <v>18332.190000000002</v>
      </c>
      <c r="G57" s="124">
        <f>G32+G40+G46+G55</f>
        <v>9755</v>
      </c>
      <c r="H57" s="29"/>
      <c r="I57" s="29"/>
      <c r="J57" s="29"/>
    </row>
    <row r="58" spans="1:12" x14ac:dyDescent="0.6">
      <c r="C58" s="104"/>
      <c r="D58" s="105"/>
      <c r="E58" s="143"/>
      <c r="F58" s="119"/>
      <c r="G58" s="120"/>
    </row>
    <row r="59" spans="1:12" x14ac:dyDescent="0.6">
      <c r="A59" s="31" t="s">
        <v>88</v>
      </c>
      <c r="B59" s="126">
        <f>B23-B57</f>
        <v>16625</v>
      </c>
      <c r="C59" s="127">
        <f>C23-C57</f>
        <v>18345.689655172417</v>
      </c>
      <c r="D59" s="128">
        <f>D23-D57</f>
        <v>-4788.1773399014783</v>
      </c>
      <c r="E59" s="143">
        <f t="shared" ref="E59" si="0">E23-E57</f>
        <v>-18000</v>
      </c>
      <c r="F59" s="119">
        <f>F23-F57</f>
        <v>-6782.1900000000023</v>
      </c>
      <c r="G59" s="129">
        <f>G23-G57</f>
        <v>-6470</v>
      </c>
      <c r="H59" s="31"/>
      <c r="I59" s="31"/>
      <c r="J59" s="31"/>
    </row>
    <row r="60" spans="1:12" x14ac:dyDescent="0.6">
      <c r="C60" s="104">
        <f>B18/2</f>
        <v>1500</v>
      </c>
      <c r="D60" s="105">
        <f>B18/2</f>
        <v>1500</v>
      </c>
      <c r="E60" s="143">
        <v>5000</v>
      </c>
      <c r="F60" s="119"/>
      <c r="G60" s="120"/>
      <c r="H60" t="s">
        <v>386</v>
      </c>
    </row>
    <row r="61" spans="1:12" x14ac:dyDescent="0.6">
      <c r="A61" t="s">
        <v>387</v>
      </c>
      <c r="C61" s="104">
        <f>SUM(C59:C60)</f>
        <v>19845.689655172417</v>
      </c>
      <c r="D61" s="105">
        <f>SUM(D59:D60)</f>
        <v>-3288.1773399014783</v>
      </c>
      <c r="E61" s="143">
        <f t="shared" ref="E61:G61" si="1">SUM(E59:E60)</f>
        <v>-13000</v>
      </c>
      <c r="F61" s="136">
        <f t="shared" si="1"/>
        <v>-6782.1900000000023</v>
      </c>
      <c r="G61" s="136">
        <f t="shared" si="1"/>
        <v>-6470</v>
      </c>
    </row>
    <row r="62" spans="1:12" s="25" customFormat="1" x14ac:dyDescent="0.6">
      <c r="B62" s="23"/>
      <c r="E62" s="148"/>
      <c r="F62" s="137"/>
      <c r="L62" s="24" t="s">
        <v>388</v>
      </c>
    </row>
    <row r="63" spans="1:12" s="25" customFormat="1" x14ac:dyDescent="0.6">
      <c r="B63" s="23"/>
      <c r="E63" s="148"/>
      <c r="F63" s="137"/>
      <c r="L63" s="24"/>
    </row>
    <row r="64" spans="1:12" s="25" customFormat="1" x14ac:dyDescent="0.6">
      <c r="B64" s="23" t="s">
        <v>400</v>
      </c>
      <c r="E64" s="148"/>
      <c r="F64" s="137"/>
      <c r="L64" s="138" t="s">
        <v>389</v>
      </c>
    </row>
    <row r="65" spans="1:12" x14ac:dyDescent="0.6">
      <c r="B65"/>
      <c r="C65"/>
      <c r="D65"/>
      <c r="F65"/>
      <c r="G65"/>
      <c r="L65" s="31" t="s">
        <v>390</v>
      </c>
    </row>
    <row r="66" spans="1:12" x14ac:dyDescent="0.6">
      <c r="B66"/>
      <c r="C66"/>
      <c r="D66"/>
      <c r="F66"/>
      <c r="G66"/>
      <c r="L66" s="31" t="s">
        <v>391</v>
      </c>
    </row>
    <row r="67" spans="1:12" x14ac:dyDescent="0.6">
      <c r="B67"/>
      <c r="C67"/>
      <c r="D67"/>
      <c r="F67"/>
      <c r="G67"/>
      <c r="L67" s="31" t="s">
        <v>392</v>
      </c>
    </row>
    <row r="68" spans="1:12" x14ac:dyDescent="0.6">
      <c r="B68"/>
      <c r="C68"/>
      <c r="D68"/>
      <c r="F68"/>
      <c r="G68"/>
      <c r="L68" s="31" t="s">
        <v>393</v>
      </c>
    </row>
    <row r="69" spans="1:12" x14ac:dyDescent="0.6">
      <c r="B69"/>
      <c r="C69"/>
      <c r="D69"/>
      <c r="F69"/>
      <c r="G69"/>
      <c r="L69" s="31"/>
    </row>
    <row r="70" spans="1:12" x14ac:dyDescent="0.6">
      <c r="B70"/>
      <c r="C70"/>
      <c r="D70"/>
      <c r="F70"/>
      <c r="G70"/>
      <c r="L70" s="31" t="s">
        <v>394</v>
      </c>
    </row>
    <row r="71" spans="1:12" x14ac:dyDescent="0.6">
      <c r="B71"/>
      <c r="C71"/>
      <c r="D71"/>
      <c r="F71"/>
      <c r="G71"/>
      <c r="L71" s="31" t="s">
        <v>395</v>
      </c>
    </row>
    <row r="72" spans="1:12" x14ac:dyDescent="0.6">
      <c r="B72"/>
      <c r="C72"/>
      <c r="D72"/>
      <c r="F72"/>
      <c r="G72"/>
      <c r="L72" t="s">
        <v>396</v>
      </c>
    </row>
    <row r="73" spans="1:12" x14ac:dyDescent="0.6">
      <c r="B73"/>
      <c r="C73"/>
      <c r="D73"/>
      <c r="F73"/>
      <c r="G73"/>
      <c r="L73" t="s">
        <v>397</v>
      </c>
    </row>
    <row r="74" spans="1:12" x14ac:dyDescent="0.6">
      <c r="B74"/>
      <c r="C74"/>
      <c r="D74"/>
      <c r="F74"/>
      <c r="G74"/>
      <c r="L74" t="s">
        <v>398</v>
      </c>
    </row>
    <row r="75" spans="1:12" x14ac:dyDescent="0.6">
      <c r="B75"/>
      <c r="C75"/>
      <c r="D75"/>
      <c r="F75"/>
      <c r="G75"/>
      <c r="L75" t="s">
        <v>399</v>
      </c>
    </row>
    <row r="76" spans="1:12" x14ac:dyDescent="0.6">
      <c r="A76" s="25"/>
      <c r="B76" s="23"/>
      <c r="C76" s="25"/>
      <c r="D76" s="25"/>
      <c r="F76" s="137"/>
      <c r="G76" s="25"/>
      <c r="H76" s="25"/>
      <c r="I76" s="25"/>
    </row>
    <row r="77" spans="1:12" x14ac:dyDescent="0.6">
      <c r="A77" s="25"/>
      <c r="B77" s="23"/>
      <c r="C77" s="25"/>
      <c r="D77" s="25"/>
      <c r="F77" s="137"/>
      <c r="G77" s="25"/>
      <c r="H77" s="25"/>
      <c r="I77" s="25"/>
    </row>
    <row r="78" spans="1:12" x14ac:dyDescent="0.6">
      <c r="A78" s="25"/>
      <c r="B78" s="23"/>
      <c r="C78" s="25"/>
      <c r="D78" s="25"/>
      <c r="F78" s="137"/>
      <c r="G78" s="25"/>
      <c r="H78" s="25"/>
      <c r="I78" s="25"/>
    </row>
    <row r="79" spans="1:12" x14ac:dyDescent="0.6">
      <c r="A79" s="25"/>
      <c r="B79" s="23"/>
      <c r="C79" s="25"/>
      <c r="D79" s="25"/>
      <c r="F79" s="137"/>
      <c r="G79" s="25"/>
      <c r="H79" s="25"/>
      <c r="I79" s="25"/>
    </row>
    <row r="80" spans="1:12" x14ac:dyDescent="0.6">
      <c r="A80" s="25"/>
      <c r="B80" s="23"/>
      <c r="C80" s="25"/>
      <c r="D80" s="25"/>
      <c r="F80" s="137"/>
      <c r="G80" s="25"/>
      <c r="H80" s="25"/>
      <c r="I80" s="25"/>
    </row>
    <row r="81" spans="1:9" x14ac:dyDescent="0.6">
      <c r="A81" s="25"/>
      <c r="B81" s="23"/>
      <c r="C81" s="25"/>
      <c r="D81" s="25"/>
      <c r="F81" s="137"/>
      <c r="G81" s="25"/>
      <c r="H81" s="25"/>
      <c r="I81" s="25"/>
    </row>
    <row r="82" spans="1:9" x14ac:dyDescent="0.6">
      <c r="A82" s="25"/>
      <c r="B82" s="23"/>
      <c r="C82" s="25"/>
      <c r="D82" s="25"/>
      <c r="F82" s="137"/>
      <c r="G82" s="25"/>
      <c r="H82" s="25"/>
      <c r="I82" s="25"/>
    </row>
    <row r="83" spans="1:9" x14ac:dyDescent="0.6">
      <c r="A83" s="25"/>
      <c r="B83" s="23"/>
      <c r="C83" s="25"/>
      <c r="D83" s="25"/>
      <c r="F83" s="137"/>
      <c r="G83" s="25"/>
      <c r="H83" s="25"/>
      <c r="I83" s="25"/>
    </row>
    <row r="84" spans="1:9" x14ac:dyDescent="0.6">
      <c r="A84" s="25"/>
      <c r="B84" s="23"/>
      <c r="C84" s="25"/>
      <c r="D84" s="25"/>
      <c r="F84" s="137"/>
      <c r="G84" s="25"/>
      <c r="H84" s="25"/>
      <c r="I84" s="25"/>
    </row>
    <row r="85" spans="1:9" x14ac:dyDescent="0.6">
      <c r="A85" s="25"/>
      <c r="B85" s="23"/>
      <c r="C85" s="25"/>
      <c r="D85" s="25"/>
      <c r="F85" s="137"/>
      <c r="G85" s="25"/>
      <c r="H85" s="25"/>
      <c r="I85" s="25"/>
    </row>
    <row r="86" spans="1:9" x14ac:dyDescent="0.6">
      <c r="A86" s="25"/>
      <c r="B86" s="23"/>
      <c r="C86" s="25"/>
      <c r="D86" s="25"/>
      <c r="F86" s="137"/>
      <c r="G86" s="25"/>
      <c r="H86" s="25"/>
      <c r="I86" s="25"/>
    </row>
    <row r="87" spans="1:9" x14ac:dyDescent="0.6">
      <c r="A87" s="25"/>
      <c r="B87" s="23"/>
      <c r="C87" s="25"/>
      <c r="D87" s="25"/>
      <c r="F87" s="137"/>
      <c r="G87" s="25"/>
      <c r="H87" s="25"/>
      <c r="I87" s="25"/>
    </row>
    <row r="88" spans="1:9" x14ac:dyDescent="0.6">
      <c r="A88" s="25"/>
      <c r="B88" s="23"/>
      <c r="C88" s="25"/>
      <c r="D88" s="25"/>
      <c r="F88" s="137"/>
      <c r="G88" s="25"/>
      <c r="H88" s="25"/>
      <c r="I88" s="25"/>
    </row>
    <row r="89" spans="1:9" x14ac:dyDescent="0.6">
      <c r="A89" s="25"/>
      <c r="B89" s="23"/>
      <c r="C89" s="25"/>
      <c r="D89" s="25"/>
      <c r="F89" s="137"/>
      <c r="G89" s="25"/>
      <c r="H89" s="25"/>
      <c r="I89" s="25"/>
    </row>
    <row r="90" spans="1:9" x14ac:dyDescent="0.6">
      <c r="A90" s="25"/>
      <c r="B90" s="23"/>
      <c r="C90" s="25"/>
      <c r="D90" s="25"/>
      <c r="F90" s="137"/>
      <c r="G90" s="25"/>
      <c r="H90" s="25"/>
      <c r="I90" s="25"/>
    </row>
    <row r="91" spans="1:9" x14ac:dyDescent="0.6">
      <c r="A91" s="25"/>
      <c r="B91" s="23"/>
      <c r="C91" s="25"/>
      <c r="D91" s="25"/>
      <c r="F91" s="137"/>
      <c r="G91" s="25"/>
      <c r="H91" s="25"/>
      <c r="I91" s="25"/>
    </row>
    <row r="92" spans="1:9" x14ac:dyDescent="0.6">
      <c r="A92" s="25"/>
      <c r="B92" s="23"/>
      <c r="C92" s="25"/>
      <c r="D92" s="25"/>
      <c r="F92" s="137"/>
      <c r="G92" s="25"/>
      <c r="H92" s="25"/>
      <c r="I92" s="25"/>
    </row>
    <row r="93" spans="1:9" x14ac:dyDescent="0.6">
      <c r="A93" s="25"/>
      <c r="B93" s="23"/>
      <c r="C93" s="25"/>
      <c r="D93" s="25"/>
      <c r="F93" s="137"/>
      <c r="G93" s="25"/>
      <c r="H93" s="25"/>
      <c r="I93" s="25"/>
    </row>
    <row r="94" spans="1:9" x14ac:dyDescent="0.6">
      <c r="A94" s="25"/>
      <c r="B94" s="23"/>
      <c r="C94" s="25"/>
      <c r="D94" s="25"/>
      <c r="F94" s="137"/>
      <c r="G94" s="25"/>
      <c r="H94" s="25"/>
      <c r="I94" s="25"/>
    </row>
    <row r="95" spans="1:9" x14ac:dyDescent="0.6">
      <c r="A95" s="25"/>
      <c r="B95" s="23"/>
      <c r="C95" s="25"/>
      <c r="D95" s="25"/>
      <c r="F95" s="137"/>
      <c r="G95" s="25"/>
      <c r="H95" s="25"/>
      <c r="I95" s="25"/>
    </row>
    <row r="96" spans="1:9" x14ac:dyDescent="0.6">
      <c r="A96" s="25"/>
      <c r="B96" s="23"/>
      <c r="C96" s="25"/>
      <c r="D96" s="25"/>
      <c r="F96" s="137"/>
      <c r="G96" s="25"/>
      <c r="H96" s="25"/>
      <c r="I96" s="25"/>
    </row>
    <row r="97" spans="1:9" x14ac:dyDescent="0.6">
      <c r="A97" s="25"/>
      <c r="B97" s="23"/>
      <c r="C97" s="25"/>
      <c r="D97" s="25"/>
      <c r="F97" s="137"/>
      <c r="G97" s="25"/>
      <c r="H97" s="25"/>
      <c r="I97" s="25"/>
    </row>
    <row r="98" spans="1:9" x14ac:dyDescent="0.6">
      <c r="A98" s="25"/>
      <c r="B98" s="23"/>
      <c r="C98" s="25"/>
      <c r="D98" s="25"/>
      <c r="F98" s="137"/>
      <c r="G98" s="25"/>
      <c r="H98" s="25"/>
      <c r="I98" s="25"/>
    </row>
    <row r="99" spans="1:9" x14ac:dyDescent="0.6">
      <c r="A99" s="25"/>
      <c r="B99" s="23"/>
      <c r="C99" s="25"/>
      <c r="D99" s="25"/>
      <c r="F99" s="137"/>
      <c r="G99" s="25"/>
      <c r="H99" s="25"/>
      <c r="I99" s="25"/>
    </row>
    <row r="100" spans="1:9" x14ac:dyDescent="0.6">
      <c r="A100" s="25"/>
      <c r="B100" s="23"/>
      <c r="C100" s="25"/>
      <c r="D100" s="25"/>
      <c r="F100" s="137"/>
      <c r="G100" s="25"/>
      <c r="H100" s="25"/>
      <c r="I100" s="25"/>
    </row>
    <row r="101" spans="1:9" x14ac:dyDescent="0.6">
      <c r="A101" s="25"/>
      <c r="B101" s="23"/>
      <c r="C101" s="25"/>
      <c r="D101" s="25"/>
      <c r="F101" s="137"/>
      <c r="G101" s="25"/>
      <c r="H101" s="25"/>
      <c r="I101" s="25"/>
    </row>
    <row r="102" spans="1:9" x14ac:dyDescent="0.6">
      <c r="A102" s="25"/>
      <c r="B102" s="23"/>
      <c r="C102" s="25"/>
      <c r="D102" s="25"/>
      <c r="F102" s="137"/>
      <c r="G102" s="25"/>
      <c r="H102" s="25"/>
      <c r="I102" s="25"/>
    </row>
    <row r="103" spans="1:9" x14ac:dyDescent="0.6">
      <c r="A103" s="25"/>
      <c r="B103" s="23"/>
      <c r="C103" s="25"/>
      <c r="D103" s="25"/>
      <c r="F103" s="137"/>
      <c r="G103" s="25"/>
      <c r="H103" s="25"/>
      <c r="I103" s="25"/>
    </row>
    <row r="104" spans="1:9" x14ac:dyDescent="0.6">
      <c r="A104" s="25"/>
      <c r="B104" s="23"/>
      <c r="C104" s="25"/>
      <c r="D104" s="25"/>
      <c r="F104" s="137"/>
      <c r="G104" s="25"/>
      <c r="H104" s="25"/>
      <c r="I104" s="25"/>
    </row>
    <row r="105" spans="1:9" x14ac:dyDescent="0.6">
      <c r="A105" s="25"/>
      <c r="B105" s="23"/>
      <c r="C105" s="25"/>
      <c r="D105" s="25"/>
      <c r="F105" s="137"/>
      <c r="G105" s="25"/>
      <c r="H105" s="25"/>
      <c r="I105" s="25"/>
    </row>
    <row r="106" spans="1:9" x14ac:dyDescent="0.6">
      <c r="A106" s="25"/>
      <c r="B106" s="23"/>
      <c r="C106" s="25"/>
      <c r="D106" s="25"/>
      <c r="F106" s="137"/>
      <c r="G106" s="25"/>
      <c r="H106" s="25"/>
      <c r="I106" s="25"/>
    </row>
    <row r="107" spans="1:9" x14ac:dyDescent="0.6">
      <c r="A107" s="25"/>
      <c r="B107" s="23"/>
      <c r="C107" s="25"/>
      <c r="D107" s="25"/>
      <c r="F107" s="137"/>
      <c r="G107" s="25"/>
      <c r="H107" s="25"/>
      <c r="I107" s="25"/>
    </row>
    <row r="113" spans="2:3" x14ac:dyDescent="0.6">
      <c r="B113"/>
      <c r="C113"/>
    </row>
    <row r="114" spans="2:3" x14ac:dyDescent="0.6">
      <c r="B114"/>
      <c r="C114"/>
    </row>
    <row r="115" spans="2:3" x14ac:dyDescent="0.6">
      <c r="B115"/>
      <c r="C115"/>
    </row>
    <row r="116" spans="2:3" x14ac:dyDescent="0.6">
      <c r="B116"/>
      <c r="C116"/>
    </row>
    <row r="117" spans="2:3" x14ac:dyDescent="0.6">
      <c r="B117"/>
      <c r="C117"/>
    </row>
    <row r="118" spans="2:3" x14ac:dyDescent="0.6">
      <c r="B118"/>
      <c r="C118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3:I33"/>
  <sheetViews>
    <sheetView workbookViewId="0">
      <selection activeCell="E1" sqref="E1:E1048576"/>
    </sheetView>
  </sheetViews>
  <sheetFormatPr defaultColWidth="11" defaultRowHeight="15.6" x14ac:dyDescent="0.6"/>
  <cols>
    <col min="3" max="3" width="22.6484375" bestFit="1" customWidth="1"/>
    <col min="4" max="4" width="22.6484375" customWidth="1"/>
    <col min="5" max="5" width="11" style="10"/>
    <col min="6" max="6" width="11" style="3"/>
  </cols>
  <sheetData>
    <row r="3" spans="1:9" x14ac:dyDescent="0.6">
      <c r="A3" t="s">
        <v>76</v>
      </c>
    </row>
    <row r="5" spans="1:9" x14ac:dyDescent="0.6">
      <c r="E5" s="10" t="s">
        <v>242</v>
      </c>
      <c r="F5" s="3" t="s">
        <v>238</v>
      </c>
    </row>
    <row r="6" spans="1:9" x14ac:dyDescent="0.6">
      <c r="A6" t="s">
        <v>0</v>
      </c>
      <c r="E6" s="11">
        <v>69480.22</v>
      </c>
      <c r="F6" s="3">
        <v>69480.22</v>
      </c>
    </row>
    <row r="7" spans="1:9" x14ac:dyDescent="0.6">
      <c r="B7">
        <v>1715701</v>
      </c>
      <c r="C7" t="s">
        <v>80</v>
      </c>
      <c r="E7" s="10">
        <v>-17000</v>
      </c>
      <c r="F7" s="3">
        <v>-17000</v>
      </c>
      <c r="I7" t="s">
        <v>82</v>
      </c>
    </row>
    <row r="8" spans="1:9" x14ac:dyDescent="0.6">
      <c r="A8" s="7" t="s">
        <v>83</v>
      </c>
      <c r="E8" s="10">
        <f>SUM(E6:E7)</f>
        <v>52480.22</v>
      </c>
      <c r="F8" s="4">
        <f>SUM(F6:F7)</f>
        <v>52480.22</v>
      </c>
    </row>
    <row r="10" spans="1:9" x14ac:dyDescent="0.6">
      <c r="A10" s="7" t="s">
        <v>11</v>
      </c>
    </row>
    <row r="12" spans="1:9" x14ac:dyDescent="0.6">
      <c r="B12" t="s">
        <v>77</v>
      </c>
    </row>
    <row r="13" spans="1:9" x14ac:dyDescent="0.6">
      <c r="C13" t="s">
        <v>6</v>
      </c>
      <c r="F13" s="3">
        <v>8600</v>
      </c>
      <c r="I13" t="s">
        <v>92</v>
      </c>
    </row>
    <row r="14" spans="1:9" x14ac:dyDescent="0.6">
      <c r="C14" t="s">
        <v>7</v>
      </c>
      <c r="E14" s="10">
        <v>2760.38</v>
      </c>
      <c r="F14" s="3">
        <v>2760.38</v>
      </c>
      <c r="I14" t="s">
        <v>84</v>
      </c>
    </row>
    <row r="15" spans="1:9" x14ac:dyDescent="0.6">
      <c r="B15" t="s">
        <v>85</v>
      </c>
      <c r="E15" s="10">
        <f>SUBTOTAL(9,E13:E14)</f>
        <v>2760.38</v>
      </c>
      <c r="F15" s="3">
        <f>SUBTOTAL(9,F13:F14)</f>
        <v>11360.380000000001</v>
      </c>
    </row>
    <row r="17" spans="1:9" x14ac:dyDescent="0.6">
      <c r="A17" s="7" t="s">
        <v>78</v>
      </c>
      <c r="E17" s="100">
        <f>SUM(E8+E15)</f>
        <v>55240.6</v>
      </c>
      <c r="F17" s="13">
        <f>SUM(F8+F15)</f>
        <v>63840.600000000006</v>
      </c>
    </row>
    <row r="20" spans="1:9" x14ac:dyDescent="0.6">
      <c r="A20" s="7" t="s">
        <v>23</v>
      </c>
    </row>
    <row r="21" spans="1:9" x14ac:dyDescent="0.6">
      <c r="B21">
        <v>1715701</v>
      </c>
      <c r="C21" t="s">
        <v>81</v>
      </c>
      <c r="E21" s="10">
        <v>25000</v>
      </c>
      <c r="F21" s="3">
        <v>25000</v>
      </c>
    </row>
    <row r="22" spans="1:9" x14ac:dyDescent="0.6">
      <c r="B22">
        <v>1715750</v>
      </c>
      <c r="C22" t="s">
        <v>75</v>
      </c>
      <c r="E22" s="10">
        <v>17937.5</v>
      </c>
      <c r="F22" s="3">
        <v>6250</v>
      </c>
      <c r="I22" t="s">
        <v>336</v>
      </c>
    </row>
    <row r="23" spans="1:9" x14ac:dyDescent="0.6">
      <c r="C23" t="s">
        <v>79</v>
      </c>
      <c r="F23" s="3">
        <v>5250</v>
      </c>
    </row>
    <row r="24" spans="1:9" x14ac:dyDescent="0.6">
      <c r="B24">
        <v>1715714</v>
      </c>
      <c r="C24" t="s">
        <v>70</v>
      </c>
      <c r="E24" s="10">
        <v>1452.92</v>
      </c>
      <c r="F24" s="3">
        <v>15000</v>
      </c>
    </row>
    <row r="25" spans="1:9" x14ac:dyDescent="0.6">
      <c r="B25">
        <v>1715714</v>
      </c>
      <c r="C25" t="s">
        <v>70</v>
      </c>
      <c r="E25" s="10">
        <v>1647.65</v>
      </c>
      <c r="F25" s="3">
        <v>2760.38</v>
      </c>
      <c r="I25" t="s">
        <v>91</v>
      </c>
    </row>
    <row r="26" spans="1:9" x14ac:dyDescent="0.6">
      <c r="C26" t="s">
        <v>49</v>
      </c>
      <c r="E26" s="10">
        <v>975.83</v>
      </c>
      <c r="F26" s="3">
        <v>1500</v>
      </c>
      <c r="I26" t="s">
        <v>89</v>
      </c>
    </row>
    <row r="27" spans="1:9" x14ac:dyDescent="0.6">
      <c r="C27" t="s">
        <v>86</v>
      </c>
      <c r="E27" s="46">
        <f>SUBTOTAL(9,E21:E26)</f>
        <v>47013.9</v>
      </c>
      <c r="F27" s="4">
        <f>SUBTOTAL(9,F21:F26)</f>
        <v>55760.38</v>
      </c>
    </row>
    <row r="29" spans="1:9" x14ac:dyDescent="0.6">
      <c r="C29" t="s">
        <v>73</v>
      </c>
      <c r="E29" s="3">
        <v>2964</v>
      </c>
      <c r="F29" s="3">
        <v>8080</v>
      </c>
    </row>
    <row r="31" spans="1:9" x14ac:dyDescent="0.6">
      <c r="A31" t="s">
        <v>87</v>
      </c>
      <c r="E31" s="46">
        <f>SUM(E27+E29)</f>
        <v>49977.9</v>
      </c>
      <c r="F31" s="46">
        <f>SUM(F27+F29)</f>
        <v>63840.38</v>
      </c>
    </row>
    <row r="33" spans="1:6" x14ac:dyDescent="0.6">
      <c r="A33" t="s">
        <v>88</v>
      </c>
      <c r="E33" s="3">
        <f>E17-E31</f>
        <v>5262.6999999999971</v>
      </c>
      <c r="F33" s="3">
        <f>F17-F31</f>
        <v>0.22000000000844011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L94"/>
  <sheetViews>
    <sheetView workbookViewId="0">
      <selection activeCell="E1" sqref="E1:E1048576"/>
    </sheetView>
  </sheetViews>
  <sheetFormatPr defaultColWidth="11" defaultRowHeight="15.6" x14ac:dyDescent="0.6"/>
  <cols>
    <col min="3" max="3" width="23" bestFit="1" customWidth="1"/>
    <col min="4" max="4" width="23" customWidth="1"/>
    <col min="5" max="5" width="11.6484375" style="10" bestFit="1" customWidth="1"/>
    <col min="6" max="6" width="13.5" style="10" bestFit="1" customWidth="1"/>
    <col min="7" max="7" width="3.84765625" style="97" customWidth="1"/>
    <col min="8" max="8" width="12.84765625" style="10" bestFit="1" customWidth="1"/>
    <col min="9" max="9" width="14.1484375" bestFit="1" customWidth="1"/>
  </cols>
  <sheetData>
    <row r="2" spans="1:12" x14ac:dyDescent="0.6">
      <c r="A2" s="7" t="s">
        <v>11</v>
      </c>
      <c r="E2" s="35" t="s">
        <v>242</v>
      </c>
      <c r="F2" s="35" t="s">
        <v>238</v>
      </c>
      <c r="H2" s="35" t="s">
        <v>182</v>
      </c>
      <c r="J2" s="35" t="s">
        <v>244</v>
      </c>
    </row>
    <row r="4" spans="1:12" x14ac:dyDescent="0.6">
      <c r="A4" s="7" t="s">
        <v>12</v>
      </c>
      <c r="B4" t="s">
        <v>0</v>
      </c>
      <c r="F4" s="10">
        <v>685</v>
      </c>
      <c r="H4" s="10">
        <v>0</v>
      </c>
    </row>
    <row r="6" spans="1:12" x14ac:dyDescent="0.6">
      <c r="B6" t="s">
        <v>9</v>
      </c>
    </row>
    <row r="7" spans="1:12" x14ac:dyDescent="0.6">
      <c r="C7" t="s">
        <v>5</v>
      </c>
      <c r="E7" s="10">
        <v>25000</v>
      </c>
      <c r="F7" s="10">
        <v>30000</v>
      </c>
      <c r="H7" s="10">
        <v>30000</v>
      </c>
      <c r="J7" t="s">
        <v>276</v>
      </c>
    </row>
    <row r="8" spans="1:12" x14ac:dyDescent="0.6">
      <c r="C8" t="s">
        <v>71</v>
      </c>
      <c r="F8" s="10">
        <v>38000</v>
      </c>
    </row>
    <row r="9" spans="1:12" x14ac:dyDescent="0.6">
      <c r="C9" t="s">
        <v>191</v>
      </c>
      <c r="F9" s="48">
        <f>SUBTOTAL(9,F7:F8)</f>
        <v>68000</v>
      </c>
    </row>
    <row r="10" spans="1:12" x14ac:dyDescent="0.6">
      <c r="F10" s="39"/>
    </row>
    <row r="11" spans="1:12" x14ac:dyDescent="0.6">
      <c r="B11" t="s">
        <v>246</v>
      </c>
    </row>
    <row r="12" spans="1:12" x14ac:dyDescent="0.6">
      <c r="B12">
        <v>1714105</v>
      </c>
      <c r="C12" t="s">
        <v>257</v>
      </c>
      <c r="F12" s="10">
        <v>3500</v>
      </c>
      <c r="L12" t="s">
        <v>319</v>
      </c>
    </row>
    <row r="13" spans="1:12" x14ac:dyDescent="0.6">
      <c r="B13">
        <v>1714107</v>
      </c>
      <c r="C13" t="s">
        <v>256</v>
      </c>
      <c r="F13" s="10">
        <v>3000</v>
      </c>
    </row>
    <row r="14" spans="1:12" x14ac:dyDescent="0.6">
      <c r="C14" t="s">
        <v>191</v>
      </c>
      <c r="F14" s="48">
        <f>SUBTOTAL(9,F12:F13)</f>
        <v>6500</v>
      </c>
    </row>
    <row r="16" spans="1:12" x14ac:dyDescent="0.6">
      <c r="B16" t="s">
        <v>250</v>
      </c>
      <c r="C16" t="s">
        <v>251</v>
      </c>
    </row>
    <row r="17" spans="1:12" x14ac:dyDescent="0.6">
      <c r="C17" t="s">
        <v>252</v>
      </c>
    </row>
    <row r="18" spans="1:12" s="7" customFormat="1" x14ac:dyDescent="0.6">
      <c r="A18" s="7" t="s">
        <v>21</v>
      </c>
      <c r="E18" s="40">
        <v>25000</v>
      </c>
      <c r="F18" s="40">
        <f>SUM(F9 +F14)</f>
        <v>74500</v>
      </c>
      <c r="G18" s="101"/>
      <c r="H18" s="40">
        <v>30000</v>
      </c>
    </row>
    <row r="21" spans="1:12" x14ac:dyDescent="0.6">
      <c r="A21" s="7" t="s">
        <v>23</v>
      </c>
    </row>
    <row r="22" spans="1:12" x14ac:dyDescent="0.6">
      <c r="A22" s="7"/>
      <c r="B22" s="7" t="s">
        <v>317</v>
      </c>
    </row>
    <row r="23" spans="1:12" x14ac:dyDescent="0.6">
      <c r="A23" s="7"/>
      <c r="C23" t="s">
        <v>316</v>
      </c>
      <c r="E23" s="10">
        <v>1750</v>
      </c>
    </row>
    <row r="24" spans="1:12" x14ac:dyDescent="0.6">
      <c r="A24" s="7"/>
    </row>
    <row r="25" spans="1:12" x14ac:dyDescent="0.6">
      <c r="B25" s="7" t="s">
        <v>253</v>
      </c>
    </row>
    <row r="26" spans="1:12" x14ac:dyDescent="0.6">
      <c r="B26">
        <v>1715702</v>
      </c>
      <c r="C26" t="s">
        <v>28</v>
      </c>
      <c r="F26" s="10">
        <v>8000</v>
      </c>
      <c r="J26" t="s">
        <v>71</v>
      </c>
      <c r="K26" t="s">
        <v>5</v>
      </c>
      <c r="L26" t="s">
        <v>315</v>
      </c>
    </row>
    <row r="27" spans="1:12" x14ac:dyDescent="0.6">
      <c r="B27">
        <v>1715702</v>
      </c>
      <c r="C27" t="s">
        <v>28</v>
      </c>
      <c r="F27" s="10">
        <v>5000</v>
      </c>
      <c r="J27" t="s">
        <v>5</v>
      </c>
    </row>
    <row r="28" spans="1:12" x14ac:dyDescent="0.6">
      <c r="B28">
        <v>1715750</v>
      </c>
      <c r="C28" t="s">
        <v>243</v>
      </c>
      <c r="F28" s="10">
        <v>8000</v>
      </c>
      <c r="J28" t="s">
        <v>71</v>
      </c>
    </row>
    <row r="29" spans="1:12" x14ac:dyDescent="0.6">
      <c r="B29">
        <v>1715720</v>
      </c>
      <c r="C29" t="s">
        <v>259</v>
      </c>
      <c r="F29" s="10">
        <v>6000</v>
      </c>
      <c r="J29" t="s">
        <v>71</v>
      </c>
    </row>
    <row r="30" spans="1:12" x14ac:dyDescent="0.6">
      <c r="B30">
        <v>1715766</v>
      </c>
      <c r="C30" t="s">
        <v>258</v>
      </c>
      <c r="F30" s="10">
        <v>420</v>
      </c>
      <c r="J30" t="s">
        <v>71</v>
      </c>
    </row>
    <row r="31" spans="1:12" x14ac:dyDescent="0.6">
      <c r="B31">
        <v>1715767</v>
      </c>
      <c r="C31" t="s">
        <v>61</v>
      </c>
      <c r="F31" s="10">
        <v>400</v>
      </c>
      <c r="J31" t="s">
        <v>71</v>
      </c>
    </row>
    <row r="32" spans="1:12" x14ac:dyDescent="0.6">
      <c r="B32">
        <v>1715773</v>
      </c>
      <c r="C32" t="s">
        <v>255</v>
      </c>
      <c r="F32" s="10">
        <v>2800</v>
      </c>
      <c r="J32" t="s">
        <v>71</v>
      </c>
    </row>
    <row r="33" spans="1:12" x14ac:dyDescent="0.6">
      <c r="B33">
        <v>1715773</v>
      </c>
      <c r="C33" t="s">
        <v>261</v>
      </c>
      <c r="F33" s="10">
        <v>8400</v>
      </c>
      <c r="J33" t="s">
        <v>71</v>
      </c>
      <c r="K33" t="s">
        <v>5</v>
      </c>
      <c r="L33" t="s">
        <v>314</v>
      </c>
    </row>
    <row r="34" spans="1:12" x14ac:dyDescent="0.6">
      <c r="B34">
        <v>1715774</v>
      </c>
      <c r="C34" t="s">
        <v>262</v>
      </c>
      <c r="F34" s="10">
        <v>1800</v>
      </c>
      <c r="J34" t="s">
        <v>263</v>
      </c>
      <c r="L34" t="s">
        <v>318</v>
      </c>
    </row>
    <row r="35" spans="1:12" x14ac:dyDescent="0.6">
      <c r="B35">
        <v>1715714</v>
      </c>
      <c r="C35" t="s">
        <v>239</v>
      </c>
      <c r="E35" s="10">
        <v>1500</v>
      </c>
      <c r="F35" s="47">
        <v>10000</v>
      </c>
      <c r="H35" s="10">
        <v>2000</v>
      </c>
      <c r="J35" t="s">
        <v>5</v>
      </c>
      <c r="K35" t="s">
        <v>5</v>
      </c>
      <c r="L35" t="s">
        <v>313</v>
      </c>
    </row>
    <row r="36" spans="1:12" x14ac:dyDescent="0.6">
      <c r="B36">
        <v>1715779</v>
      </c>
      <c r="C36" t="s">
        <v>260</v>
      </c>
      <c r="F36" s="10">
        <v>3200</v>
      </c>
      <c r="J36" t="s">
        <v>13</v>
      </c>
    </row>
    <row r="37" spans="1:12" x14ac:dyDescent="0.6">
      <c r="B37" t="s">
        <v>86</v>
      </c>
      <c r="E37" s="10">
        <f>SUM(E26:E36)</f>
        <v>1500</v>
      </c>
      <c r="F37" s="48">
        <f>SUBTOTAL(9,F26:F36)</f>
        <v>54020</v>
      </c>
    </row>
    <row r="40" spans="1:12" s="7" customFormat="1" x14ac:dyDescent="0.6">
      <c r="B40" s="7" t="s">
        <v>270</v>
      </c>
      <c r="E40" s="40"/>
      <c r="F40" s="41"/>
      <c r="G40" s="101"/>
      <c r="H40" s="40"/>
    </row>
    <row r="41" spans="1:12" x14ac:dyDescent="0.6">
      <c r="B41" s="7"/>
    </row>
    <row r="42" spans="1:12" x14ac:dyDescent="0.6">
      <c r="B42">
        <v>1715702</v>
      </c>
      <c r="C42" t="s">
        <v>28</v>
      </c>
      <c r="F42" s="47">
        <v>10000</v>
      </c>
      <c r="H42" s="10">
        <v>18000</v>
      </c>
      <c r="J42" t="s">
        <v>5</v>
      </c>
      <c r="L42" t="s">
        <v>245</v>
      </c>
    </row>
    <row r="43" spans="1:12" x14ac:dyDescent="0.6">
      <c r="B43">
        <v>1715711</v>
      </c>
      <c r="C43" t="s">
        <v>241</v>
      </c>
      <c r="F43" s="47">
        <v>2500</v>
      </c>
      <c r="J43" t="s">
        <v>5</v>
      </c>
      <c r="L43" t="s">
        <v>271</v>
      </c>
    </row>
    <row r="44" spans="1:12" x14ac:dyDescent="0.6">
      <c r="B44">
        <v>1715766</v>
      </c>
      <c r="C44" t="s">
        <v>254</v>
      </c>
      <c r="F44" s="47">
        <v>215</v>
      </c>
      <c r="H44" s="10">
        <v>215</v>
      </c>
      <c r="J44" t="s">
        <v>5</v>
      </c>
    </row>
    <row r="45" spans="1:12" x14ac:dyDescent="0.6">
      <c r="B45">
        <v>1715714</v>
      </c>
      <c r="C45" t="s">
        <v>240</v>
      </c>
      <c r="F45" s="10">
        <v>0</v>
      </c>
      <c r="H45" s="10">
        <v>7000</v>
      </c>
    </row>
    <row r="46" spans="1:12" x14ac:dyDescent="0.6">
      <c r="B46" t="s">
        <v>86</v>
      </c>
      <c r="E46" s="10">
        <f>SUM(E42:E45)</f>
        <v>0</v>
      </c>
      <c r="F46" s="47">
        <f>SUBTOTAL(9,F42:F45)</f>
        <v>12715</v>
      </c>
      <c r="L46" t="s">
        <v>274</v>
      </c>
    </row>
    <row r="48" spans="1:12" s="7" customFormat="1" x14ac:dyDescent="0.6">
      <c r="A48" s="7" t="s">
        <v>72</v>
      </c>
      <c r="E48" s="40">
        <f>SUM(E23+E37+E46)</f>
        <v>3250</v>
      </c>
      <c r="F48" s="40">
        <f>SUM(F37+F46)</f>
        <v>66735</v>
      </c>
      <c r="G48" s="101"/>
      <c r="H48" s="40">
        <f>SUM(H24:H45)</f>
        <v>27215</v>
      </c>
    </row>
    <row r="51" spans="1:12" x14ac:dyDescent="0.6">
      <c r="C51" t="s">
        <v>73</v>
      </c>
      <c r="E51" s="10">
        <f>E18-E48</f>
        <v>21750</v>
      </c>
      <c r="F51" s="10">
        <f>F18-F48</f>
        <v>7765</v>
      </c>
      <c r="L51" s="42"/>
    </row>
    <row r="52" spans="1:12" x14ac:dyDescent="0.6">
      <c r="C52" t="s">
        <v>90</v>
      </c>
      <c r="H52" s="10">
        <v>685</v>
      </c>
    </row>
    <row r="54" spans="1:12" x14ac:dyDescent="0.6">
      <c r="A54" t="s">
        <v>74</v>
      </c>
      <c r="E54" s="10">
        <v>0</v>
      </c>
      <c r="F54" s="10">
        <f>F18-(F48+F51)</f>
        <v>0</v>
      </c>
      <c r="H54" s="10">
        <f>SUM(H26:H52)</f>
        <v>55115</v>
      </c>
    </row>
    <row r="60" spans="1:12" s="36" customFormat="1" x14ac:dyDescent="0.6">
      <c r="E60" s="37"/>
      <c r="F60" s="37"/>
      <c r="G60" s="97"/>
      <c r="H60" s="37"/>
    </row>
    <row r="62" spans="1:12" x14ac:dyDescent="0.6">
      <c r="C62" t="s">
        <v>247</v>
      </c>
    </row>
    <row r="63" spans="1:12" x14ac:dyDescent="0.6">
      <c r="E63"/>
      <c r="H63"/>
      <c r="L63" s="7"/>
    </row>
    <row r="64" spans="1:12" x14ac:dyDescent="0.6">
      <c r="C64" t="s">
        <v>248</v>
      </c>
      <c r="F64" s="38"/>
      <c r="H64"/>
      <c r="L64" s="10"/>
    </row>
    <row r="65" spans="3:12" x14ac:dyDescent="0.6">
      <c r="C65" t="s">
        <v>264</v>
      </c>
      <c r="F65" s="38"/>
      <c r="L65" s="10"/>
    </row>
    <row r="66" spans="3:12" x14ac:dyDescent="0.6">
      <c r="C66" t="s">
        <v>249</v>
      </c>
      <c r="F66" s="38"/>
    </row>
    <row r="67" spans="3:12" x14ac:dyDescent="0.6">
      <c r="C67" t="s">
        <v>191</v>
      </c>
    </row>
    <row r="68" spans="3:12" x14ac:dyDescent="0.6">
      <c r="L68" s="10"/>
    </row>
    <row r="69" spans="3:12" x14ac:dyDescent="0.6">
      <c r="C69" s="25"/>
      <c r="D69" s="25"/>
      <c r="E69" s="23"/>
      <c r="F69" s="23"/>
    </row>
    <row r="70" spans="3:12" x14ac:dyDescent="0.6">
      <c r="C70" s="25"/>
      <c r="D70" s="25"/>
      <c r="E70" s="23"/>
      <c r="F70" s="23"/>
    </row>
    <row r="71" spans="3:12" x14ac:dyDescent="0.6">
      <c r="C71" s="25"/>
      <c r="D71" s="25"/>
      <c r="E71" s="23"/>
      <c r="F71" s="23"/>
    </row>
    <row r="72" spans="3:12" x14ac:dyDescent="0.6">
      <c r="C72" s="25"/>
      <c r="D72" s="25"/>
      <c r="E72" s="23"/>
      <c r="F72" s="23"/>
      <c r="K72" s="43"/>
    </row>
    <row r="73" spans="3:12" x14ac:dyDescent="0.6">
      <c r="C73" s="25"/>
      <c r="D73" s="25"/>
      <c r="E73" s="23"/>
      <c r="F73" s="23"/>
      <c r="K73" s="10"/>
    </row>
    <row r="74" spans="3:12" x14ac:dyDescent="0.6">
      <c r="C74" s="25"/>
      <c r="D74" s="25"/>
      <c r="E74" s="23"/>
      <c r="F74" s="23"/>
      <c r="I74" s="25"/>
      <c r="K74" s="10"/>
    </row>
    <row r="75" spans="3:12" x14ac:dyDescent="0.6">
      <c r="C75" s="25"/>
      <c r="D75" s="25"/>
      <c r="E75" s="23"/>
      <c r="F75" s="23"/>
      <c r="I75" s="25"/>
    </row>
    <row r="76" spans="3:12" x14ac:dyDescent="0.6">
      <c r="C76" s="25"/>
      <c r="D76" s="25"/>
      <c r="E76" s="23"/>
      <c r="F76" s="23"/>
    </row>
    <row r="77" spans="3:12" x14ac:dyDescent="0.6">
      <c r="C77" s="25"/>
      <c r="D77" s="25"/>
      <c r="E77" s="23"/>
      <c r="F77" s="23"/>
      <c r="K77" s="43"/>
    </row>
    <row r="78" spans="3:12" x14ac:dyDescent="0.6">
      <c r="C78" s="25"/>
      <c r="D78" s="25"/>
      <c r="E78" s="23"/>
      <c r="F78" s="23"/>
    </row>
    <row r="79" spans="3:12" x14ac:dyDescent="0.6">
      <c r="C79" s="25"/>
      <c r="D79" s="25"/>
      <c r="E79" s="23"/>
      <c r="F79" s="23"/>
    </row>
    <row r="80" spans="3:12" x14ac:dyDescent="0.6">
      <c r="C80" s="25"/>
      <c r="D80" s="25"/>
      <c r="E80" s="23"/>
      <c r="F80" s="23"/>
    </row>
    <row r="81" spans="3:8" x14ac:dyDescent="0.6">
      <c r="C81" s="25"/>
      <c r="D81" s="25"/>
      <c r="E81" s="23"/>
      <c r="F81" s="23"/>
    </row>
    <row r="82" spans="3:8" s="7" customFormat="1" x14ac:dyDescent="0.6">
      <c r="C82" s="24"/>
      <c r="D82" s="24"/>
      <c r="E82" s="28"/>
      <c r="F82" s="28"/>
      <c r="G82" s="101"/>
      <c r="H82" s="40"/>
    </row>
    <row r="83" spans="3:8" x14ac:dyDescent="0.6">
      <c r="C83" s="25"/>
      <c r="D83" s="25"/>
      <c r="E83" s="23"/>
      <c r="F83" s="23"/>
    </row>
    <row r="84" spans="3:8" x14ac:dyDescent="0.6">
      <c r="C84" s="25"/>
      <c r="D84" s="25"/>
      <c r="E84" s="23"/>
      <c r="F84" s="23"/>
    </row>
    <row r="85" spans="3:8" x14ac:dyDescent="0.6">
      <c r="C85" s="25"/>
      <c r="D85" s="25"/>
      <c r="E85" s="23"/>
      <c r="F85" s="23"/>
    </row>
    <row r="86" spans="3:8" x14ac:dyDescent="0.6">
      <c r="C86" s="25"/>
      <c r="D86" s="25"/>
      <c r="E86" s="23"/>
      <c r="F86" s="23"/>
    </row>
    <row r="87" spans="3:8" x14ac:dyDescent="0.6">
      <c r="C87" s="25"/>
      <c r="D87" s="25"/>
      <c r="E87" s="23"/>
      <c r="F87" s="23"/>
    </row>
    <row r="88" spans="3:8" x14ac:dyDescent="0.6">
      <c r="C88" s="25"/>
      <c r="D88" s="25"/>
      <c r="E88" s="23"/>
      <c r="F88" s="23"/>
    </row>
    <row r="89" spans="3:8" x14ac:dyDescent="0.6">
      <c r="C89" s="25"/>
      <c r="D89" s="25"/>
      <c r="E89" s="23"/>
      <c r="F89" s="23"/>
    </row>
    <row r="90" spans="3:8" x14ac:dyDescent="0.6">
      <c r="C90" s="25"/>
      <c r="D90" s="25"/>
      <c r="E90" s="23"/>
      <c r="F90" s="23"/>
    </row>
    <row r="91" spans="3:8" x14ac:dyDescent="0.6">
      <c r="C91" s="25"/>
      <c r="D91" s="25"/>
      <c r="E91" s="23"/>
      <c r="F91" s="23"/>
    </row>
    <row r="92" spans="3:8" s="7" customFormat="1" x14ac:dyDescent="0.6">
      <c r="C92" s="24"/>
      <c r="D92" s="24"/>
      <c r="E92" s="28"/>
      <c r="F92" s="28"/>
      <c r="G92" s="101"/>
      <c r="H92" s="40"/>
    </row>
    <row r="93" spans="3:8" x14ac:dyDescent="0.6">
      <c r="C93" s="25"/>
      <c r="D93" s="25"/>
      <c r="E93" s="23"/>
      <c r="F93" s="23"/>
    </row>
    <row r="94" spans="3:8" x14ac:dyDescent="0.6">
      <c r="C94" s="25"/>
      <c r="D94" s="25"/>
      <c r="E94" s="23"/>
      <c r="F94" s="23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6:P39"/>
  <sheetViews>
    <sheetView topLeftCell="C7" workbookViewId="0">
      <selection activeCell="E17" sqref="E17"/>
    </sheetView>
  </sheetViews>
  <sheetFormatPr defaultColWidth="11" defaultRowHeight="15.6" x14ac:dyDescent="0.6"/>
  <cols>
    <col min="1" max="1" width="19.5" bestFit="1" customWidth="1"/>
    <col min="3" max="3" width="11" style="50"/>
    <col min="4" max="4" width="12" style="50" bestFit="1" customWidth="1"/>
    <col min="5" max="6" width="11" style="51"/>
    <col min="7" max="7" width="11" style="52"/>
    <col min="8" max="8" width="12.1484375" customWidth="1"/>
    <col min="10" max="10" width="17.5" customWidth="1"/>
    <col min="11" max="11" width="13" bestFit="1" customWidth="1"/>
  </cols>
  <sheetData>
    <row r="6" spans="1:16" ht="15.9" thickBot="1" x14ac:dyDescent="0.65">
      <c r="B6">
        <v>2016</v>
      </c>
      <c r="H6" s="7">
        <v>2015</v>
      </c>
    </row>
    <row r="7" spans="1:16" ht="30.9" thickBot="1" x14ac:dyDescent="0.65">
      <c r="A7" s="53"/>
      <c r="B7" s="53" t="s">
        <v>284</v>
      </c>
      <c r="C7" s="54" t="s">
        <v>285</v>
      </c>
      <c r="D7" s="54" t="s">
        <v>286</v>
      </c>
      <c r="E7" s="51" t="s">
        <v>287</v>
      </c>
      <c r="F7" s="51" t="s">
        <v>288</v>
      </c>
      <c r="G7" s="55"/>
      <c r="H7" s="56" t="s">
        <v>93</v>
      </c>
      <c r="I7" s="56" t="s">
        <v>94</v>
      </c>
      <c r="J7" s="57" t="s">
        <v>95</v>
      </c>
      <c r="K7" s="58" t="s">
        <v>289</v>
      </c>
      <c r="L7" s="59" t="s">
        <v>290</v>
      </c>
      <c r="O7" s="7" t="s">
        <v>291</v>
      </c>
    </row>
    <row r="8" spans="1:16" ht="15.9" thickBot="1" x14ac:dyDescent="0.65">
      <c r="A8" s="53" t="s">
        <v>292</v>
      </c>
      <c r="B8" s="60">
        <v>35000</v>
      </c>
      <c r="C8" s="61">
        <f>B8/B17*100</f>
        <v>2.3777173913043481</v>
      </c>
      <c r="D8" s="61">
        <f t="shared" ref="D8" si="0">(C8*0.01)*4625</f>
        <v>109.96942934782611</v>
      </c>
      <c r="E8" s="62">
        <v>120</v>
      </c>
      <c r="F8" s="62">
        <v>120</v>
      </c>
      <c r="G8" s="63"/>
      <c r="I8" s="56"/>
      <c r="J8" s="57"/>
      <c r="K8" s="58">
        <v>120</v>
      </c>
      <c r="L8" s="64"/>
      <c r="M8" t="s">
        <v>293</v>
      </c>
      <c r="O8" s="7"/>
    </row>
    <row r="9" spans="1:16" ht="15.9" thickBot="1" x14ac:dyDescent="0.65">
      <c r="A9" s="53" t="s">
        <v>294</v>
      </c>
      <c r="B9" s="60">
        <v>32000</v>
      </c>
      <c r="C9" s="61">
        <f>B9/B17*100</f>
        <v>2.1739130434782608</v>
      </c>
      <c r="D9" s="61">
        <f>(C9*0.01)*4625</f>
        <v>100.54347826086956</v>
      </c>
      <c r="E9" s="62">
        <v>120</v>
      </c>
      <c r="F9" s="62">
        <v>120</v>
      </c>
      <c r="G9" s="63"/>
      <c r="I9" s="56"/>
      <c r="J9" s="57"/>
      <c r="K9" s="58">
        <v>120</v>
      </c>
      <c r="L9" s="64"/>
      <c r="M9" t="s">
        <v>293</v>
      </c>
      <c r="O9" s="7"/>
    </row>
    <row r="10" spans="1:16" ht="15.9" thickBot="1" x14ac:dyDescent="0.65">
      <c r="A10" s="65" t="s">
        <v>97</v>
      </c>
      <c r="B10" s="66">
        <v>75000</v>
      </c>
      <c r="C10" s="67">
        <f>B10/B17*100</f>
        <v>5.0951086956521738</v>
      </c>
      <c r="D10" s="61">
        <f>(C10*0.01)*4625</f>
        <v>235.64877717391303</v>
      </c>
      <c r="E10" s="51">
        <v>286</v>
      </c>
      <c r="F10" s="51">
        <f>D10+50</f>
        <v>285.648777173913</v>
      </c>
      <c r="G10" s="68"/>
      <c r="H10" s="69">
        <v>73832</v>
      </c>
      <c r="I10" s="70">
        <v>6.53</v>
      </c>
      <c r="J10" s="71">
        <v>262.81299999999999</v>
      </c>
      <c r="K10" s="71">
        <v>262.81299999999999</v>
      </c>
      <c r="L10" s="72"/>
      <c r="M10" t="s">
        <v>293</v>
      </c>
    </row>
    <row r="11" spans="1:16" ht="15.9" thickBot="1" x14ac:dyDescent="0.65">
      <c r="A11" s="65" t="s">
        <v>96</v>
      </c>
      <c r="B11" s="60">
        <v>85000</v>
      </c>
      <c r="C11" s="67">
        <f>B11/B17*100</f>
        <v>5.7744565217391308</v>
      </c>
      <c r="D11" s="61">
        <f t="shared" ref="D11:D16" si="1">(C11*0.01)*4625</f>
        <v>267.06861413043481</v>
      </c>
      <c r="E11" s="51">
        <v>317</v>
      </c>
      <c r="G11" s="68"/>
      <c r="H11" s="69">
        <v>83936</v>
      </c>
      <c r="I11" s="70">
        <v>7.42</v>
      </c>
      <c r="J11" s="71">
        <v>298.78100000000001</v>
      </c>
      <c r="K11" s="71">
        <v>298.78100000000001</v>
      </c>
      <c r="L11" s="72"/>
      <c r="M11" t="s">
        <v>293</v>
      </c>
      <c r="P11" s="73"/>
    </row>
    <row r="12" spans="1:16" ht="15.9" thickBot="1" x14ac:dyDescent="0.65">
      <c r="A12" s="65" t="s">
        <v>99</v>
      </c>
      <c r="B12" s="60">
        <v>95000</v>
      </c>
      <c r="C12" s="67">
        <f>B12/B17*100</f>
        <v>6.453804347826086</v>
      </c>
      <c r="D12" s="61">
        <f>(C12*0.01)*4625</f>
        <v>298.4884510869565</v>
      </c>
      <c r="E12" s="51">
        <v>348</v>
      </c>
      <c r="F12" s="51">
        <f>D12+50</f>
        <v>348.4884510869565</v>
      </c>
      <c r="G12" s="68"/>
      <c r="H12" s="69">
        <v>93603</v>
      </c>
      <c r="I12" s="70">
        <v>8.2799999999999994</v>
      </c>
      <c r="J12" s="71">
        <v>333.19099999999997</v>
      </c>
      <c r="K12" s="71">
        <v>333.19099999999997</v>
      </c>
      <c r="L12" s="72"/>
      <c r="M12" t="s">
        <v>293</v>
      </c>
    </row>
    <row r="13" spans="1:16" ht="15.9" thickBot="1" x14ac:dyDescent="0.65">
      <c r="A13" s="65" t="s">
        <v>98</v>
      </c>
      <c r="B13" s="60">
        <v>100000</v>
      </c>
      <c r="C13" s="67">
        <f>B13/B17*100</f>
        <v>6.7934782608695645</v>
      </c>
      <c r="D13" s="61">
        <f t="shared" si="1"/>
        <v>314.19836956521738</v>
      </c>
      <c r="E13" s="51">
        <v>364</v>
      </c>
      <c r="G13" s="68"/>
      <c r="H13" s="69">
        <v>103684</v>
      </c>
      <c r="I13" s="70">
        <v>9.17</v>
      </c>
      <c r="J13" s="71">
        <v>369.07499999999999</v>
      </c>
      <c r="K13" s="71">
        <v>369.07499999999999</v>
      </c>
      <c r="L13" s="72"/>
      <c r="M13" t="s">
        <v>293</v>
      </c>
    </row>
    <row r="14" spans="1:16" ht="15.9" thickBot="1" x14ac:dyDescent="0.65">
      <c r="A14" s="65" t="s">
        <v>100</v>
      </c>
      <c r="B14" s="60">
        <v>350000</v>
      </c>
      <c r="C14" s="67">
        <f>B14/B17*100</f>
        <v>23.777173913043477</v>
      </c>
      <c r="D14" s="61">
        <f t="shared" si="1"/>
        <v>1099.694293478261</v>
      </c>
      <c r="E14" s="51">
        <v>1071</v>
      </c>
      <c r="G14" s="68"/>
      <c r="H14" s="69">
        <v>250417</v>
      </c>
      <c r="I14" s="70">
        <v>22.15</v>
      </c>
      <c r="J14" s="71">
        <v>891.39200000000005</v>
      </c>
      <c r="K14" s="71">
        <v>891.39200000000005</v>
      </c>
      <c r="L14" s="72"/>
      <c r="M14" t="s">
        <v>293</v>
      </c>
    </row>
    <row r="15" spans="1:16" ht="15.9" thickBot="1" x14ac:dyDescent="0.65">
      <c r="A15" s="65" t="s">
        <v>101</v>
      </c>
      <c r="B15" s="60">
        <v>250000</v>
      </c>
      <c r="C15" s="67">
        <f>B15/B17*100</f>
        <v>16.983695652173914</v>
      </c>
      <c r="D15" s="61">
        <f t="shared" si="1"/>
        <v>785.4959239130435</v>
      </c>
      <c r="E15" s="51">
        <v>765</v>
      </c>
      <c r="G15" s="68"/>
      <c r="H15" s="69">
        <v>115293</v>
      </c>
      <c r="I15" s="70">
        <v>10.199999999999999</v>
      </c>
      <c r="J15" s="71">
        <v>410.4</v>
      </c>
      <c r="K15" s="71">
        <v>410.4</v>
      </c>
      <c r="L15" s="72"/>
      <c r="M15" t="s">
        <v>293</v>
      </c>
    </row>
    <row r="16" spans="1:16" ht="15.9" thickBot="1" x14ac:dyDescent="0.65">
      <c r="A16" s="65" t="s">
        <v>102</v>
      </c>
      <c r="B16" s="60">
        <v>450000</v>
      </c>
      <c r="C16" s="67">
        <f>B16/B17*100</f>
        <v>30.570652173913043</v>
      </c>
      <c r="D16" s="61">
        <f t="shared" si="1"/>
        <v>1413.8926630434783</v>
      </c>
      <c r="E16" s="51">
        <v>1376</v>
      </c>
      <c r="G16" s="68"/>
      <c r="H16" s="69">
        <v>446832</v>
      </c>
      <c r="I16" s="70">
        <v>39.520000000000003</v>
      </c>
      <c r="J16" s="71">
        <v>1590.5540000000001</v>
      </c>
      <c r="K16" s="71">
        <v>1590.5540000000001</v>
      </c>
      <c r="L16" s="72"/>
      <c r="M16" t="s">
        <v>293</v>
      </c>
    </row>
    <row r="17" spans="1:13" ht="15.9" thickBot="1" x14ac:dyDescent="0.65">
      <c r="A17" s="56" t="s">
        <v>103</v>
      </c>
      <c r="B17" s="74">
        <f>SUM(B8:B16)</f>
        <v>1472000</v>
      </c>
      <c r="C17" s="75">
        <f>SUM(C8:C16)</f>
        <v>100</v>
      </c>
      <c r="D17" s="75"/>
      <c r="E17" s="76">
        <f>SUM(E8:E16)</f>
        <v>4767</v>
      </c>
      <c r="F17" s="76">
        <f>SUM(F8:F16)</f>
        <v>874.13722826086951</v>
      </c>
      <c r="G17" s="77"/>
      <c r="H17" s="74">
        <f>SUM(H9:H16)</f>
        <v>1167597</v>
      </c>
      <c r="I17" s="56"/>
      <c r="J17" s="78"/>
      <c r="K17" s="78">
        <f>SUM(K11:K16)</f>
        <v>3893.393</v>
      </c>
      <c r="L17" s="79">
        <f>SUM(L11:L16)</f>
        <v>0</v>
      </c>
    </row>
    <row r="18" spans="1:13" ht="15.9" thickBot="1" x14ac:dyDescent="0.65">
      <c r="A18" s="65"/>
      <c r="B18" s="80"/>
      <c r="C18" s="81"/>
      <c r="D18" s="81"/>
      <c r="E18" s="82"/>
      <c r="F18" s="82"/>
      <c r="G18" s="83"/>
      <c r="H18" s="70"/>
      <c r="I18" s="65"/>
      <c r="J18" s="84"/>
      <c r="K18" s="80"/>
      <c r="L18" s="85"/>
    </row>
    <row r="19" spans="1:13" ht="15.9" thickBot="1" x14ac:dyDescent="0.65">
      <c r="A19" s="86" t="s">
        <v>295</v>
      </c>
      <c r="B19" s="66">
        <v>1000000</v>
      </c>
      <c r="C19" s="81"/>
      <c r="D19" s="81"/>
      <c r="E19" s="82"/>
      <c r="F19" s="82"/>
      <c r="G19" s="83"/>
      <c r="H19" s="60">
        <v>1000000</v>
      </c>
      <c r="I19" s="65"/>
      <c r="J19" s="87"/>
      <c r="K19" s="65"/>
      <c r="L19" s="85"/>
    </row>
    <row r="20" spans="1:13" ht="15.9" thickBot="1" x14ac:dyDescent="0.65">
      <c r="A20" s="65"/>
      <c r="B20" s="80"/>
      <c r="C20" s="81"/>
      <c r="D20" s="81"/>
      <c r="E20" s="82"/>
      <c r="F20" s="82"/>
      <c r="G20" s="83"/>
      <c r="H20" s="65"/>
      <c r="I20" s="65"/>
      <c r="J20" s="84"/>
      <c r="K20" s="80"/>
      <c r="L20" s="72"/>
    </row>
    <row r="21" spans="1:13" ht="15.9" thickBot="1" x14ac:dyDescent="0.65">
      <c r="A21" s="65"/>
      <c r="B21" s="80"/>
      <c r="C21" s="81"/>
      <c r="D21" s="81"/>
      <c r="E21" s="82"/>
      <c r="F21" s="82"/>
      <c r="G21" s="83"/>
      <c r="H21" s="65"/>
      <c r="I21" s="65"/>
      <c r="J21" s="71"/>
      <c r="K21" s="70"/>
      <c r="L21" s="85"/>
    </row>
    <row r="22" spans="1:13" ht="15.9" thickBot="1" x14ac:dyDescent="0.65">
      <c r="A22" s="65"/>
      <c r="B22" s="80"/>
      <c r="C22" s="81"/>
      <c r="D22" s="81"/>
      <c r="E22" s="82"/>
      <c r="F22" s="82"/>
      <c r="G22" s="83"/>
      <c r="H22" s="65"/>
      <c r="I22" s="65"/>
      <c r="J22" s="84"/>
      <c r="K22" s="80"/>
      <c r="L22" s="85"/>
    </row>
    <row r="23" spans="1:13" ht="15.9" thickBot="1" x14ac:dyDescent="0.65">
      <c r="A23" s="65"/>
      <c r="B23" s="80"/>
      <c r="C23" s="81"/>
      <c r="D23" s="81"/>
      <c r="E23" s="82"/>
      <c r="F23" s="82"/>
      <c r="G23" s="83"/>
      <c r="H23" s="65"/>
      <c r="I23" s="65"/>
      <c r="J23" s="84"/>
      <c r="K23" s="80"/>
      <c r="L23" s="85"/>
    </row>
    <row r="24" spans="1:13" ht="15.9" thickBot="1" x14ac:dyDescent="0.65">
      <c r="A24" s="56" t="s">
        <v>104</v>
      </c>
      <c r="B24" s="80"/>
      <c r="C24" s="81"/>
      <c r="D24" s="81"/>
      <c r="E24" s="82"/>
      <c r="F24" s="82"/>
      <c r="G24" s="83"/>
      <c r="H24" s="65"/>
      <c r="I24" s="65"/>
      <c r="J24" s="84"/>
      <c r="K24" s="80"/>
      <c r="L24" s="85"/>
    </row>
    <row r="25" spans="1:13" ht="45.9" thickBot="1" x14ac:dyDescent="0.65">
      <c r="A25" s="65" t="s">
        <v>105</v>
      </c>
      <c r="B25" s="88">
        <v>2640</v>
      </c>
      <c r="C25" s="81"/>
      <c r="D25" s="81"/>
      <c r="E25" s="82"/>
      <c r="F25" s="82"/>
      <c r="G25" s="83"/>
      <c r="H25" s="88">
        <v>2640</v>
      </c>
      <c r="I25" s="65"/>
      <c r="J25" s="84"/>
      <c r="K25" s="80"/>
      <c r="L25" s="85"/>
    </row>
    <row r="26" spans="1:13" ht="15.9" thickBot="1" x14ac:dyDescent="0.65">
      <c r="A26" s="65" t="s">
        <v>106</v>
      </c>
      <c r="B26" s="81">
        <f>F17*0.07</f>
        <v>61.189605978260872</v>
      </c>
      <c r="C26" s="81"/>
      <c r="D26" s="81"/>
      <c r="H26" s="88">
        <f>K17*0.07</f>
        <v>272.53751000000005</v>
      </c>
      <c r="I26" s="65"/>
      <c r="J26" s="84"/>
      <c r="K26" s="84"/>
      <c r="L26" s="85"/>
    </row>
    <row r="27" spans="1:13" ht="15.9" thickBot="1" x14ac:dyDescent="0.65">
      <c r="A27" s="65" t="s">
        <v>296</v>
      </c>
      <c r="B27" s="54">
        <f>(B17-B19)*0.0022</f>
        <v>1038.4000000000001</v>
      </c>
      <c r="H27" s="88">
        <v>1019.29</v>
      </c>
      <c r="I27" s="65"/>
      <c r="J27" s="84"/>
      <c r="K27" s="80"/>
      <c r="L27" s="85"/>
    </row>
    <row r="28" spans="1:13" ht="15.9" thickBot="1" x14ac:dyDescent="0.65">
      <c r="A28" s="65" t="s">
        <v>297</v>
      </c>
      <c r="B28" s="54">
        <v>1200</v>
      </c>
      <c r="H28" s="85">
        <v>0</v>
      </c>
      <c r="I28" s="65"/>
      <c r="J28" s="84"/>
      <c r="K28" s="80"/>
      <c r="L28" s="85"/>
      <c r="M28">
        <f>25%*4625</f>
        <v>1156.25</v>
      </c>
    </row>
    <row r="29" spans="1:13" ht="15.9" thickBot="1" x14ac:dyDescent="0.65">
      <c r="A29" s="53"/>
      <c r="H29" s="53"/>
      <c r="I29" s="65"/>
      <c r="J29" s="89"/>
      <c r="K29" s="53"/>
      <c r="L29" s="59"/>
    </row>
    <row r="30" spans="1:13" ht="15.9" thickBot="1" x14ac:dyDescent="0.65">
      <c r="A30" s="90" t="s">
        <v>298</v>
      </c>
      <c r="B30" s="91">
        <f>SUM(B25:B28)</f>
        <v>4939.5896059782608</v>
      </c>
      <c r="C30" s="92"/>
      <c r="D30" s="92"/>
      <c r="E30" s="93"/>
      <c r="F30" s="93"/>
      <c r="G30" s="94"/>
      <c r="H30" s="91">
        <f>SUM(H25:H28)</f>
        <v>3931.8275100000001</v>
      </c>
      <c r="I30" s="65"/>
      <c r="J30" s="89"/>
      <c r="K30" s="54"/>
      <c r="L30" s="59"/>
    </row>
    <row r="31" spans="1:13" x14ac:dyDescent="0.6">
      <c r="A31" s="90"/>
      <c r="B31" s="91"/>
      <c r="C31" s="92"/>
      <c r="D31" s="92"/>
      <c r="E31" s="93"/>
      <c r="F31" s="93"/>
      <c r="G31" s="94"/>
      <c r="H31" s="91"/>
      <c r="I31" s="95"/>
      <c r="J31" s="89"/>
      <c r="K31" s="53"/>
      <c r="L31" s="59"/>
    </row>
    <row r="32" spans="1:13" x14ac:dyDescent="0.6">
      <c r="A32" s="90" t="s">
        <v>299</v>
      </c>
      <c r="B32" s="91">
        <f>F17-B30</f>
        <v>-4065.4523777173913</v>
      </c>
      <c r="C32" s="92"/>
      <c r="D32" s="92"/>
      <c r="E32" s="93"/>
      <c r="F32" s="93"/>
      <c r="G32" s="94"/>
      <c r="H32" s="91">
        <f>K17-H30</f>
        <v>-38.434510000000046</v>
      </c>
      <c r="I32" s="95"/>
      <c r="J32" s="89"/>
      <c r="K32" s="89"/>
      <c r="L32" s="59"/>
    </row>
    <row r="34" spans="1:9" x14ac:dyDescent="0.6">
      <c r="A34" t="s">
        <v>300</v>
      </c>
    </row>
    <row r="35" spans="1:9" x14ac:dyDescent="0.6">
      <c r="A35" t="s">
        <v>301</v>
      </c>
    </row>
    <row r="38" spans="1:9" x14ac:dyDescent="0.6">
      <c r="I38" t="s">
        <v>302</v>
      </c>
    </row>
    <row r="39" spans="1:9" x14ac:dyDescent="0.6">
      <c r="I39" t="s">
        <v>303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3:J56"/>
  <sheetViews>
    <sheetView topLeftCell="A12" workbookViewId="0">
      <selection activeCell="I47" sqref="I47"/>
    </sheetView>
  </sheetViews>
  <sheetFormatPr defaultColWidth="10.84765625" defaultRowHeight="15.6" x14ac:dyDescent="0.6"/>
  <cols>
    <col min="1" max="1" width="9.5" style="33" bestFit="1" customWidth="1"/>
    <col min="2" max="2" width="22.34765625" style="15" bestFit="1" customWidth="1"/>
    <col min="3" max="3" width="16.84765625" style="15" bestFit="1" customWidth="1"/>
    <col min="4" max="4" width="13" style="15" customWidth="1"/>
    <col min="5" max="5" width="12.1484375" style="15" bestFit="1" customWidth="1"/>
    <col min="6" max="6" width="13.6484375" style="15" bestFit="1" customWidth="1"/>
    <col min="7" max="7" width="28.34765625" style="15" bestFit="1" customWidth="1"/>
    <col min="8" max="8" width="29.5" style="15" bestFit="1" customWidth="1"/>
    <col min="9" max="9" width="13.1484375" style="16" customWidth="1"/>
    <col min="10" max="16384" width="10.84765625" style="15"/>
  </cols>
  <sheetData>
    <row r="3" spans="1:10" x14ac:dyDescent="0.6">
      <c r="A3" s="32" t="s">
        <v>204</v>
      </c>
    </row>
    <row r="5" spans="1:10" s="14" customFormat="1" x14ac:dyDescent="0.6">
      <c r="A5" s="32"/>
      <c r="B5" s="14" t="s">
        <v>107</v>
      </c>
      <c r="C5" s="14" t="s">
        <v>108</v>
      </c>
      <c r="F5" s="14" t="s">
        <v>109</v>
      </c>
      <c r="G5" s="14" t="s">
        <v>110</v>
      </c>
      <c r="H5" s="14" t="s">
        <v>111</v>
      </c>
      <c r="I5" s="16" t="s">
        <v>205</v>
      </c>
    </row>
    <row r="6" spans="1:10" s="14" customFormat="1" x14ac:dyDescent="0.6">
      <c r="A6" s="32" t="s">
        <v>112</v>
      </c>
      <c r="B6" s="14" t="s">
        <v>20</v>
      </c>
      <c r="C6" s="14" t="s">
        <v>113</v>
      </c>
      <c r="D6" s="14" t="s">
        <v>114</v>
      </c>
      <c r="E6" s="7" t="s">
        <v>115</v>
      </c>
      <c r="G6" s="17" t="s">
        <v>116</v>
      </c>
      <c r="I6" s="16">
        <v>6165</v>
      </c>
      <c r="J6" s="14" t="s">
        <v>117</v>
      </c>
    </row>
    <row r="7" spans="1:10" s="14" customFormat="1" x14ac:dyDescent="0.6">
      <c r="A7" s="32"/>
      <c r="E7" s="7"/>
      <c r="G7" s="17"/>
      <c r="I7" s="16"/>
    </row>
    <row r="8" spans="1:10" s="14" customFormat="1" x14ac:dyDescent="0.6">
      <c r="A8" s="32"/>
      <c r="E8" s="7"/>
      <c r="G8" s="17"/>
      <c r="I8" s="16"/>
    </row>
    <row r="9" spans="1:10" x14ac:dyDescent="0.6">
      <c r="A9" s="33">
        <v>1</v>
      </c>
      <c r="B9" s="14" t="s">
        <v>165</v>
      </c>
      <c r="C9" s="14" t="s">
        <v>166</v>
      </c>
      <c r="D9" s="15" t="s">
        <v>167</v>
      </c>
      <c r="E9" s="15" t="s">
        <v>168</v>
      </c>
      <c r="F9"/>
      <c r="G9" s="19" t="s">
        <v>169</v>
      </c>
      <c r="H9" t="s">
        <v>170</v>
      </c>
      <c r="I9" s="16">
        <v>600</v>
      </c>
      <c r="J9" s="15" t="s">
        <v>206</v>
      </c>
    </row>
    <row r="10" spans="1:10" x14ac:dyDescent="0.6">
      <c r="B10" s="14"/>
      <c r="C10" s="14"/>
      <c r="D10" s="15" t="s">
        <v>171</v>
      </c>
      <c r="E10" s="15" t="s">
        <v>172</v>
      </c>
      <c r="F10"/>
      <c r="G10" s="19" t="s">
        <v>173</v>
      </c>
      <c r="H10" t="s">
        <v>174</v>
      </c>
    </row>
    <row r="11" spans="1:10" x14ac:dyDescent="0.6">
      <c r="B11" s="14"/>
      <c r="C11" s="14"/>
      <c r="F11"/>
      <c r="G11" s="19"/>
      <c r="H11"/>
    </row>
    <row r="12" spans="1:10" x14ac:dyDescent="0.6">
      <c r="A12" s="33">
        <v>2</v>
      </c>
      <c r="B12" s="14" t="s">
        <v>118</v>
      </c>
      <c r="C12" s="14" t="s">
        <v>119</v>
      </c>
      <c r="G12" s="18" t="s">
        <v>120</v>
      </c>
      <c r="I12" s="16">
        <v>600</v>
      </c>
      <c r="J12" s="15" t="s">
        <v>206</v>
      </c>
    </row>
    <row r="13" spans="1:10" x14ac:dyDescent="0.6">
      <c r="C13" s="14" t="s">
        <v>121</v>
      </c>
      <c r="D13" s="15" t="s">
        <v>122</v>
      </c>
      <c r="E13" s="15" t="s">
        <v>123</v>
      </c>
      <c r="G13" t="s">
        <v>124</v>
      </c>
    </row>
    <row r="14" spans="1:10" x14ac:dyDescent="0.6">
      <c r="G14" s="18"/>
    </row>
    <row r="15" spans="1:10" x14ac:dyDescent="0.6">
      <c r="A15" s="33">
        <v>3</v>
      </c>
      <c r="B15" s="14" t="s">
        <v>131</v>
      </c>
      <c r="C15" s="14" t="s">
        <v>207</v>
      </c>
      <c r="D15" s="20" t="s">
        <v>132</v>
      </c>
      <c r="E15" s="149" t="s">
        <v>133</v>
      </c>
      <c r="F15" s="149"/>
      <c r="G15" s="22" t="s">
        <v>208</v>
      </c>
      <c r="I15" s="16">
        <v>600</v>
      </c>
      <c r="J15" s="15" t="s">
        <v>206</v>
      </c>
    </row>
    <row r="16" spans="1:10" x14ac:dyDescent="0.6">
      <c r="C16" s="14" t="s">
        <v>134</v>
      </c>
      <c r="D16" s="15" t="s">
        <v>135</v>
      </c>
      <c r="E16" s="21" t="s">
        <v>136</v>
      </c>
      <c r="F16" s="21"/>
      <c r="G16" s="21" t="s">
        <v>137</v>
      </c>
    </row>
    <row r="17" spans="1:10" x14ac:dyDescent="0.6">
      <c r="G17" s="18"/>
    </row>
    <row r="18" spans="1:10" x14ac:dyDescent="0.6">
      <c r="A18" s="33">
        <v>4</v>
      </c>
      <c r="B18" s="14" t="s">
        <v>138</v>
      </c>
      <c r="C18" s="14" t="s">
        <v>139</v>
      </c>
      <c r="D18" s="15" t="s">
        <v>140</v>
      </c>
      <c r="E18" s="15" t="s">
        <v>141</v>
      </c>
      <c r="G18" s="19" t="s">
        <v>142</v>
      </c>
      <c r="H18" t="s">
        <v>209</v>
      </c>
      <c r="J18" s="15" t="s">
        <v>206</v>
      </c>
    </row>
    <row r="19" spans="1:10" x14ac:dyDescent="0.6">
      <c r="C19" s="14" t="s">
        <v>143</v>
      </c>
      <c r="D19" s="15" t="s">
        <v>144</v>
      </c>
      <c r="E19" s="15" t="s">
        <v>145</v>
      </c>
      <c r="G19" s="18" t="s">
        <v>146</v>
      </c>
      <c r="H19" s="15" t="s">
        <v>210</v>
      </c>
    </row>
    <row r="20" spans="1:10" x14ac:dyDescent="0.6">
      <c r="C20" s="14"/>
      <c r="G20" s="18"/>
    </row>
    <row r="21" spans="1:10" x14ac:dyDescent="0.6">
      <c r="A21" s="33">
        <v>5</v>
      </c>
      <c r="B21" s="14" t="s">
        <v>211</v>
      </c>
      <c r="C21" s="14" t="s">
        <v>212</v>
      </c>
      <c r="D21" s="15" t="s">
        <v>213</v>
      </c>
      <c r="E21" s="15" t="s">
        <v>214</v>
      </c>
      <c r="F21" t="s">
        <v>215</v>
      </c>
      <c r="G21" s="19" t="s">
        <v>216</v>
      </c>
      <c r="H21" t="s">
        <v>217</v>
      </c>
      <c r="I21" s="16">
        <v>600</v>
      </c>
      <c r="J21" s="15" t="s">
        <v>206</v>
      </c>
    </row>
    <row r="22" spans="1:10" x14ac:dyDescent="0.6">
      <c r="C22" s="14"/>
      <c r="G22" s="18"/>
      <c r="H22" t="s">
        <v>218</v>
      </c>
    </row>
    <row r="23" spans="1:10" x14ac:dyDescent="0.6">
      <c r="C23" s="14"/>
      <c r="G23" s="18"/>
      <c r="H23" t="s">
        <v>219</v>
      </c>
    </row>
    <row r="24" spans="1:10" x14ac:dyDescent="0.6">
      <c r="C24" s="14"/>
      <c r="G24" s="18"/>
      <c r="H24" t="s">
        <v>220</v>
      </c>
    </row>
    <row r="25" spans="1:10" x14ac:dyDescent="0.6">
      <c r="C25" s="14"/>
      <c r="G25" s="18"/>
      <c r="H25"/>
    </row>
    <row r="26" spans="1:10" x14ac:dyDescent="0.6">
      <c r="A26" s="33">
        <v>6</v>
      </c>
      <c r="B26" s="14" t="s">
        <v>221</v>
      </c>
      <c r="C26" s="14" t="s">
        <v>222</v>
      </c>
      <c r="D26" s="15" t="s">
        <v>223</v>
      </c>
      <c r="E26" s="15" t="s">
        <v>224</v>
      </c>
      <c r="G26" t="s">
        <v>225</v>
      </c>
      <c r="H26" t="s">
        <v>226</v>
      </c>
      <c r="I26" s="16">
        <v>600</v>
      </c>
      <c r="J26" s="15" t="s">
        <v>206</v>
      </c>
    </row>
    <row r="27" spans="1:10" x14ac:dyDescent="0.6">
      <c r="B27" s="14"/>
      <c r="C27" s="14"/>
      <c r="G27"/>
      <c r="H27" t="s">
        <v>227</v>
      </c>
    </row>
    <row r="28" spans="1:10" x14ac:dyDescent="0.6">
      <c r="B28" s="14"/>
      <c r="C28" s="14"/>
      <c r="G28"/>
      <c r="H28" t="s">
        <v>228</v>
      </c>
    </row>
    <row r="29" spans="1:10" x14ac:dyDescent="0.6">
      <c r="C29" s="14"/>
      <c r="G29"/>
      <c r="H29" t="s">
        <v>229</v>
      </c>
    </row>
    <row r="30" spans="1:10" x14ac:dyDescent="0.6">
      <c r="C30" s="14"/>
      <c r="G30" s="18"/>
    </row>
    <row r="31" spans="1:10" x14ac:dyDescent="0.6">
      <c r="A31" s="33">
        <v>7</v>
      </c>
      <c r="B31" s="14" t="s">
        <v>157</v>
      </c>
      <c r="C31" s="14" t="s">
        <v>158</v>
      </c>
      <c r="D31" s="15" t="s">
        <v>159</v>
      </c>
      <c r="E31" s="15" t="s">
        <v>160</v>
      </c>
      <c r="G31" t="s">
        <v>161</v>
      </c>
      <c r="H31" t="s">
        <v>162</v>
      </c>
      <c r="I31" s="16">
        <v>600</v>
      </c>
      <c r="J31" s="15" t="s">
        <v>206</v>
      </c>
    </row>
    <row r="32" spans="1:10" x14ac:dyDescent="0.6">
      <c r="B32" s="14"/>
      <c r="C32" s="14"/>
      <c r="H32" t="s">
        <v>163</v>
      </c>
    </row>
    <row r="33" spans="1:10" x14ac:dyDescent="0.6">
      <c r="B33" s="14"/>
      <c r="C33" s="14"/>
      <c r="H33" t="s">
        <v>164</v>
      </c>
    </row>
    <row r="34" spans="1:10" x14ac:dyDescent="0.6">
      <c r="B34" s="14"/>
      <c r="C34" s="14"/>
      <c r="H34"/>
    </row>
    <row r="35" spans="1:10" x14ac:dyDescent="0.6">
      <c r="A35" s="33">
        <v>8</v>
      </c>
      <c r="B35" s="14" t="s">
        <v>125</v>
      </c>
      <c r="C35" s="14" t="s">
        <v>126</v>
      </c>
      <c r="D35" s="15" t="s">
        <v>127</v>
      </c>
      <c r="E35" s="15" t="s">
        <v>128</v>
      </c>
      <c r="F35" s="15" t="s">
        <v>129</v>
      </c>
      <c r="G35" s="19" t="s">
        <v>130</v>
      </c>
      <c r="H35" t="s">
        <v>230</v>
      </c>
      <c r="I35" s="34"/>
      <c r="J35" s="15" t="s">
        <v>206</v>
      </c>
    </row>
    <row r="36" spans="1:10" x14ac:dyDescent="0.6">
      <c r="B36" s="14"/>
      <c r="C36" s="14" t="s">
        <v>231</v>
      </c>
      <c r="D36" s="15" t="s">
        <v>232</v>
      </c>
      <c r="E36" s="15" t="s">
        <v>233</v>
      </c>
      <c r="F36" s="15" t="s">
        <v>129</v>
      </c>
      <c r="G36" s="15" t="s">
        <v>234</v>
      </c>
      <c r="H36" t="s">
        <v>235</v>
      </c>
    </row>
    <row r="37" spans="1:10" x14ac:dyDescent="0.6">
      <c r="G37" s="18"/>
      <c r="H37" t="s">
        <v>236</v>
      </c>
    </row>
    <row r="38" spans="1:10" x14ac:dyDescent="0.6">
      <c r="G38" s="18"/>
      <c r="H38"/>
    </row>
    <row r="39" spans="1:10" x14ac:dyDescent="0.6">
      <c r="A39" s="33">
        <v>9</v>
      </c>
      <c r="B39" s="14" t="s">
        <v>147</v>
      </c>
      <c r="C39" s="14" t="s">
        <v>148</v>
      </c>
      <c r="D39" s="15" t="s">
        <v>149</v>
      </c>
      <c r="E39" s="15" t="s">
        <v>150</v>
      </c>
      <c r="F39" s="15" t="s">
        <v>151</v>
      </c>
      <c r="G39" s="18" t="s">
        <v>152</v>
      </c>
      <c r="I39" s="49">
        <v>600</v>
      </c>
      <c r="J39" s="15" t="s">
        <v>206</v>
      </c>
    </row>
    <row r="40" spans="1:10" x14ac:dyDescent="0.6">
      <c r="C40" s="14" t="s">
        <v>153</v>
      </c>
      <c r="D40" s="15" t="s">
        <v>154</v>
      </c>
      <c r="E40" s="15" t="s">
        <v>155</v>
      </c>
      <c r="G40" s="19" t="s">
        <v>156</v>
      </c>
    </row>
    <row r="42" spans="1:10" x14ac:dyDescent="0.6">
      <c r="A42" s="33">
        <v>10</v>
      </c>
      <c r="B42" s="15" t="s">
        <v>272</v>
      </c>
    </row>
    <row r="45" spans="1:10" x14ac:dyDescent="0.6">
      <c r="H45" s="15" t="s">
        <v>237</v>
      </c>
      <c r="I45" s="16">
        <f>SUM(I9:I43)</f>
        <v>4200</v>
      </c>
    </row>
    <row r="52" spans="1:9" x14ac:dyDescent="0.6">
      <c r="A52" s="15"/>
      <c r="G52"/>
      <c r="I52" s="15"/>
    </row>
    <row r="53" spans="1:9" x14ac:dyDescent="0.6">
      <c r="A53" s="15"/>
      <c r="G53"/>
      <c r="I53" s="15"/>
    </row>
    <row r="54" spans="1:9" x14ac:dyDescent="0.6">
      <c r="A54" s="15"/>
      <c r="G54"/>
      <c r="I54" s="15"/>
    </row>
    <row r="55" spans="1:9" x14ac:dyDescent="0.6">
      <c r="A55" s="15"/>
      <c r="G55"/>
      <c r="I55" s="15"/>
    </row>
    <row r="56" spans="1:9" x14ac:dyDescent="0.6">
      <c r="A56" s="15"/>
      <c r="G56"/>
      <c r="I56" s="15"/>
    </row>
  </sheetData>
  <mergeCells count="1">
    <mergeCell ref="E15:F15"/>
  </mergeCells>
  <hyperlinks>
    <hyperlink ref="G39" r:id="rId1"/>
    <hyperlink ref="G19" r:id="rId2"/>
    <hyperlink ref="G12" r:id="rId3"/>
    <hyperlink ref="G6" r:id="rId4"/>
    <hyperlink ref="G18" r:id="rId5"/>
    <hyperlink ref="G35" r:id="rId6"/>
    <hyperlink ref="G15" r:id="rId7"/>
    <hyperlink ref="G10" r:id="rId8"/>
    <hyperlink ref="G21" r:id="rId9"/>
    <hyperlink ref="G40" r:id="rId10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workbookViewId="0">
      <selection activeCell="D18" sqref="D18"/>
    </sheetView>
  </sheetViews>
  <sheetFormatPr defaultColWidth="11" defaultRowHeight="15.6" x14ac:dyDescent="0.6"/>
  <sheetData>
    <row r="1" spans="1:1" x14ac:dyDescent="0.6">
      <c r="A1" t="s">
        <v>401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Final 2015 Budget</vt:lpstr>
      <vt:lpstr>Conference</vt:lpstr>
      <vt:lpstr>Metrics Project</vt:lpstr>
      <vt:lpstr>Media Policy</vt:lpstr>
      <vt:lpstr>What Counts</vt:lpstr>
      <vt:lpstr>Vocus</vt:lpstr>
      <vt:lpstr>Chartbeat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Jgkaiser</cp:lastModifiedBy>
  <dcterms:created xsi:type="dcterms:W3CDTF">2015-03-06T18:08:38Z</dcterms:created>
  <dcterms:modified xsi:type="dcterms:W3CDTF">2017-07-20T04:11:25Z</dcterms:modified>
</cp:coreProperties>
</file>