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80" yWindow="0" windowWidth="25600" windowHeight="16060" tabRatio="854" activeTab="0"/>
  </bookViews>
  <sheets>
    <sheet name="Approved 2013 Budget" sheetId="1" r:id="rId1"/>
    <sheet name="Budget by Project 2013" sheetId="2" r:id="rId2"/>
    <sheet name="Annual Meeting Budget" sheetId="3" r:id="rId3"/>
    <sheet name="MPREP 2013 Budget" sheetId="4" r:id="rId4"/>
    <sheet name="NCMR Travel" sheetId="5" r:id="rId5"/>
    <sheet name="RJ Budget 2013" sheetId="6" r:id="rId6"/>
    <sheet name="CJTI Budget--Biz Plan" sheetId="7" r:id="rId7"/>
  </sheets>
  <definedNames/>
  <calcPr fullCalcOnLoad="1"/>
</workbook>
</file>

<file path=xl/sharedStrings.xml><?xml version="1.0" encoding="utf-8"?>
<sst xmlns="http://schemas.openxmlformats.org/spreadsheetml/2006/main" count="609" uniqueCount="494">
  <si>
    <t>Total Grant Funding</t>
  </si>
  <si>
    <t>Salaries--FTE</t>
  </si>
  <si>
    <t>MPREP Reporting Fund</t>
  </si>
  <si>
    <t>Media Policy Reporting and Education Program</t>
  </si>
  <si>
    <t>Collaborative Fundraiser</t>
  </si>
  <si>
    <t>Total Collaborative Fundraiser</t>
  </si>
  <si>
    <t>Metrics Experiment</t>
  </si>
  <si>
    <t>Metrics Reporting Fund</t>
  </si>
  <si>
    <t>Total Metrics Experiment</t>
  </si>
  <si>
    <t>Total Sponsorships</t>
  </si>
  <si>
    <t>Restricted Grants--none confirmed; all projected</t>
  </si>
  <si>
    <t>EBS Companies (Metric Collaborative Experiment)</t>
  </si>
  <si>
    <t>Project Expense</t>
  </si>
  <si>
    <t>Unrestricted Grants</t>
  </si>
  <si>
    <t>Office Space</t>
  </si>
  <si>
    <t>Office supplies</t>
  </si>
  <si>
    <t>MP Ed and Reporting Total</t>
  </si>
  <si>
    <t>Total Earned Revenue</t>
  </si>
  <si>
    <t>Innovation/Incubation Lab Fees</t>
  </si>
  <si>
    <t>Total Project Expense (Direct Costs)</t>
  </si>
  <si>
    <t>Earned Revenue</t>
  </si>
  <si>
    <t>Annual Meeting</t>
  </si>
  <si>
    <t>Balance</t>
  </si>
  <si>
    <t>Expense</t>
  </si>
  <si>
    <t>General Operations Expense</t>
  </si>
  <si>
    <t xml:space="preserve">Total Personnel </t>
  </si>
  <si>
    <t xml:space="preserve">Non-personnel Administrative </t>
  </si>
  <si>
    <t xml:space="preserve">Total Non-Personnel Administrative </t>
  </si>
  <si>
    <t>Total General Operations Expense</t>
  </si>
  <si>
    <t>Total Expenses</t>
  </si>
  <si>
    <t>Memberships</t>
  </si>
  <si>
    <t>Personnel</t>
  </si>
  <si>
    <t>Membership</t>
  </si>
  <si>
    <t>Total Membership</t>
  </si>
  <si>
    <t>TMC Annual Meeting</t>
  </si>
  <si>
    <t>Harnisch (Collab Fundraiser Seed Money)</t>
  </si>
  <si>
    <t>Donations</t>
  </si>
  <si>
    <t>Individual Donor Campaign</t>
  </si>
  <si>
    <t>Total Donations</t>
  </si>
  <si>
    <t>Jo Ellen</t>
  </si>
  <si>
    <t>Contractors</t>
  </si>
  <si>
    <t>Regional Meetings</t>
  </si>
  <si>
    <t>Razoo website</t>
  </si>
  <si>
    <t>includes sponsorships</t>
  </si>
  <si>
    <t>Sponsorships</t>
  </si>
  <si>
    <t>Non-TMC Conf/Org Registration</t>
  </si>
  <si>
    <t>Travel/Lodging</t>
  </si>
  <si>
    <t>Entertainment/Meals</t>
  </si>
  <si>
    <t>see Entertainment/Meals</t>
  </si>
  <si>
    <t>Social Media Curator ($15/hr * 10 hrs)</t>
  </si>
  <si>
    <t>Collab Fundraiser Temp Assistant ($25/hr * 15 hrs * 6 wks)</t>
  </si>
  <si>
    <t>Interns</t>
  </si>
  <si>
    <t>Long form journalism lab</t>
  </si>
  <si>
    <t>Contractor Reimbursement</t>
  </si>
  <si>
    <t>Prize Money</t>
  </si>
  <si>
    <t>Fracking Reporting Fund</t>
  </si>
  <si>
    <t>Total Fracking Collaboration</t>
  </si>
  <si>
    <t>benefits</t>
  </si>
  <si>
    <t>Democracy Alliance</t>
  </si>
  <si>
    <t>Actual 2012</t>
  </si>
  <si>
    <t>Wallace Global</t>
  </si>
  <si>
    <t>Deutsch Foundation (Metric Collaborative Experiment)</t>
  </si>
  <si>
    <t>Anonymous Donor (Metric Collaborative Experiment)</t>
  </si>
  <si>
    <t>Grant approved</t>
  </si>
  <si>
    <t>Media Democracy Fund (MPREP)</t>
  </si>
  <si>
    <t>On their "map"--no funds expected</t>
  </si>
  <si>
    <t>Donation pledged</t>
  </si>
  <si>
    <t>Proposed  Revenue</t>
  </si>
  <si>
    <t>Received some 2013 member $ in 2012</t>
  </si>
  <si>
    <t>MPREP paid intern</t>
  </si>
  <si>
    <t>Fiscal Sponsor Fee (7% of all grants)</t>
  </si>
  <si>
    <t>Contingency</t>
  </si>
  <si>
    <t>Natural Gas Collaboration</t>
  </si>
  <si>
    <t>(sponsorships)</t>
  </si>
  <si>
    <t>Communications (webhost, webinar software, urls)</t>
  </si>
  <si>
    <t>In hand--grant for use in 2013</t>
  </si>
  <si>
    <t>Balance</t>
  </si>
  <si>
    <t>Revenue in red is budgeted but not actual.</t>
  </si>
  <si>
    <t>Harnisch support was one-time</t>
  </si>
  <si>
    <t>Via Support Your Media Day fundraiser--next fundraiser will be March 5, 2013</t>
  </si>
  <si>
    <t>Proposed 2013</t>
  </si>
  <si>
    <r>
      <t xml:space="preserve">Website </t>
    </r>
    <r>
      <rPr>
        <sz val="10"/>
        <rFont val="Verdana"/>
        <family val="0"/>
      </rPr>
      <t>Consultant</t>
    </r>
  </si>
  <si>
    <t>Erin Polgreen</t>
  </si>
  <si>
    <t>We had some OSI funds left from 2011</t>
  </si>
  <si>
    <t>In discussions on carbon tax</t>
  </si>
  <si>
    <t xml:space="preserve">Other Marketing(website?) </t>
  </si>
  <si>
    <t>FNP (10,150)</t>
  </si>
  <si>
    <r>
      <t>Staff Time (</t>
    </r>
    <r>
      <rPr>
        <sz val="10"/>
        <rFont val="Verdana"/>
        <family val="0"/>
      </rPr>
      <t>$22,000)</t>
    </r>
  </si>
  <si>
    <t>Staff Time</t>
  </si>
  <si>
    <t>50,0000 covered by project grants</t>
  </si>
  <si>
    <t>2,500 covered by WGF</t>
  </si>
  <si>
    <t>WGF</t>
  </si>
  <si>
    <t>covered by dues</t>
  </si>
  <si>
    <r>
      <rPr>
        <sz val="10"/>
        <rFont val="Verdana"/>
        <family val="0"/>
      </rPr>
      <t>covered by dues</t>
    </r>
  </si>
  <si>
    <t>9,500 covered by project grants/ 8144 covered by dues</t>
  </si>
  <si>
    <t>WGF--$750 per trip</t>
  </si>
  <si>
    <t>covered by WGF</t>
  </si>
  <si>
    <t>Notes: Status of Revenue</t>
  </si>
  <si>
    <t>Notes: Source of Funds for Expenses</t>
  </si>
  <si>
    <t>TMC 2013 Budget Draft--by revenue/expenses overall</t>
  </si>
  <si>
    <t>TMC 2013 Budget Draft--by project</t>
  </si>
  <si>
    <t>By Project</t>
  </si>
  <si>
    <t>Revenue</t>
  </si>
  <si>
    <t>Revenue Sources</t>
  </si>
  <si>
    <t>Dues</t>
  </si>
  <si>
    <t>Lab Fees</t>
  </si>
  <si>
    <r>
      <t>Regional Meetings</t>
    </r>
    <r>
      <rPr>
        <sz val="10"/>
        <rFont val="Verdana"/>
        <family val="0"/>
      </rPr>
      <t xml:space="preserve"> (Meals)</t>
    </r>
  </si>
  <si>
    <t>FNP overhead</t>
  </si>
  <si>
    <t>Deutsch Foundation (in hand)</t>
  </si>
  <si>
    <t>Donor--pledged</t>
  </si>
  <si>
    <t>Donor-pledged</t>
  </si>
  <si>
    <t>EBS-pledged but may come from NEA, others</t>
  </si>
  <si>
    <t>Future 500</t>
  </si>
  <si>
    <t>General Operations/Overhead Expenses</t>
  </si>
  <si>
    <t>Social Media Curator</t>
  </si>
  <si>
    <t>WGF General Support</t>
  </si>
  <si>
    <t>Total Expenses/Revenues</t>
  </si>
  <si>
    <t>Staff</t>
  </si>
  <si>
    <t>Director Salary (50,000)</t>
  </si>
  <si>
    <t>Covered by Project Grants</t>
  </si>
  <si>
    <t xml:space="preserve">Director's Salary from Project $$: </t>
  </si>
  <si>
    <t>Support Yr Media Day</t>
  </si>
  <si>
    <t>Payroll (17,644)</t>
  </si>
  <si>
    <t>FNP Overhead (WGF grant and ind donors)</t>
  </si>
  <si>
    <t>Staff Time ($15,000)</t>
  </si>
  <si>
    <r>
      <t>Total Project Expense (Direct Costs)</t>
    </r>
    <r>
      <rPr>
        <b/>
        <sz val="10"/>
        <rFont val="Verdana"/>
        <family val="2"/>
      </rPr>
      <t>/Revenue</t>
    </r>
  </si>
  <si>
    <t>Reserves</t>
  </si>
  <si>
    <t>in hand--grant for use in 2013</t>
  </si>
  <si>
    <t>CJTI</t>
  </si>
  <si>
    <t>Major Donors</t>
  </si>
  <si>
    <t>Labor Policy Reporting Project</t>
  </si>
  <si>
    <t>FNP (1750)</t>
  </si>
  <si>
    <t>LPREP Reporting Fund</t>
  </si>
  <si>
    <t>LPREP Reporting Total</t>
  </si>
  <si>
    <t>CJTI Total</t>
  </si>
  <si>
    <t>Staff (20,000)</t>
  </si>
  <si>
    <t>Marketing Materials</t>
  </si>
  <si>
    <t>CJTI Fees</t>
  </si>
  <si>
    <t>Non-Member Annual Meeting Reg Fees</t>
  </si>
  <si>
    <t>10 non-members @ $250</t>
  </si>
  <si>
    <t>60 participants @ $45 (discounted-normal cost is $108)</t>
  </si>
  <si>
    <t>Staff Time ($20,000)</t>
  </si>
  <si>
    <t>Fledgling Fund</t>
  </si>
  <si>
    <t>Environmental Policy Reporting Project</t>
  </si>
  <si>
    <t>EREP Reporting Total</t>
  </si>
  <si>
    <t>EREP Reporting Fund</t>
  </si>
  <si>
    <t>Reproductive Justice Collaboration</t>
  </si>
  <si>
    <t>Total RJ Collaboration</t>
  </si>
  <si>
    <t>FNP (8750)</t>
  </si>
  <si>
    <t>FNP (2100)</t>
  </si>
  <si>
    <t>see budget</t>
  </si>
  <si>
    <t>Dollars moved from reserves into operating budget (-)</t>
  </si>
  <si>
    <t>Dollars moved from operating budget into reserves (+)</t>
  </si>
  <si>
    <t>Primarily for CJTI in 2014</t>
  </si>
  <si>
    <t>NOTE--Cannot afford in proposed budget</t>
  </si>
  <si>
    <t>CJTI Budget</t>
  </si>
  <si>
    <t>startup</t>
  </si>
  <si>
    <t>ongoing</t>
  </si>
  <si>
    <t>Fixed Revenue</t>
  </si>
  <si>
    <t>month</t>
  </si>
  <si>
    <t>annual</t>
  </si>
  <si>
    <t>Donors/VC/Program Sponsors</t>
  </si>
  <si>
    <t>Underwriters for entire program, not specific classes</t>
  </si>
  <si>
    <t>Variable Revenue</t>
  </si>
  <si>
    <t>Organizations (in person training)</t>
  </si>
  <si>
    <t>includes free space</t>
  </si>
  <si>
    <t>In-person trainees/sponsored</t>
  </si>
  <si>
    <t>Total per sponsored inperson Training</t>
  </si>
  <si>
    <t>Organizations (online training)</t>
  </si>
  <si>
    <t>for 30</t>
  </si>
  <si>
    <t>online trainees/sponsored</t>
  </si>
  <si>
    <t>Total per sponsored online Training</t>
  </si>
  <si>
    <t>in-person trainees (20/class)</t>
  </si>
  <si>
    <t>for 20</t>
  </si>
  <si>
    <t>Total per unsponsored inperson Training</t>
  </si>
  <si>
    <t>online trainees (30/class)</t>
  </si>
  <si>
    <t>Total per unsponsored online Training</t>
  </si>
  <si>
    <t>Variable Revenue Startup Assumption</t>
  </si>
  <si>
    <t>4 sponsored inperson, 2 sponsored online/month (max)</t>
  </si>
  <si>
    <t>Variable Revenue--Ongoing Assumption</t>
  </si>
  <si>
    <t>10 sponsored inperson, 4 sponsored online, 2 unsponsored inperson, 2 unsponsored online</t>
  </si>
  <si>
    <t>Total Revenue</t>
  </si>
  <si>
    <t>Fixed Costs</t>
  </si>
  <si>
    <t>startup cost</t>
  </si>
  <si>
    <t>Ongoing based on 8 trainings/mo</t>
  </si>
  <si>
    <t>Executive Director</t>
  </si>
  <si>
    <t>Program Oversight--10% time</t>
  </si>
  <si>
    <t>Program Director</t>
  </si>
  <si>
    <t>N/A</t>
  </si>
  <si>
    <t>program development, funding</t>
  </si>
  <si>
    <t>Program Assistant</t>
  </si>
  <si>
    <t>logistics, data entry</t>
  </si>
  <si>
    <t>Curriculum Director</t>
  </si>
  <si>
    <t>curriculum creator; hires trainers</t>
  </si>
  <si>
    <t>Online Curriculum Manager</t>
  </si>
  <si>
    <t>website, social media</t>
  </si>
  <si>
    <t>subtotal</t>
  </si>
  <si>
    <t>Consultants</t>
  </si>
  <si>
    <t>bookkeeper</t>
  </si>
  <si>
    <t>annual contract</t>
  </si>
  <si>
    <t>accountant</t>
  </si>
  <si>
    <t>web designer</t>
  </si>
  <si>
    <t>tech</t>
  </si>
  <si>
    <t>trainers--see variable cost</t>
  </si>
  <si>
    <t>Administrative Costs</t>
  </si>
  <si>
    <t>communications software</t>
  </si>
  <si>
    <t>network w/trainers (basecamp, etc)</t>
  </si>
  <si>
    <t>database/sales software</t>
  </si>
  <si>
    <t>salesforce, etc</t>
  </si>
  <si>
    <t>sales equipment (capital)</t>
  </si>
  <si>
    <t>cash box, card-reader for trainers</t>
  </si>
  <si>
    <t>training equipment (capital)</t>
  </si>
  <si>
    <t>mikes, etc. for trainers</t>
  </si>
  <si>
    <t>webinar software</t>
  </si>
  <si>
    <t>robust webinar software</t>
  </si>
  <si>
    <t>FNP</t>
  </si>
  <si>
    <t>if not nonprofit, then tax</t>
  </si>
  <si>
    <t>office space?</t>
  </si>
  <si>
    <t>I think by year 4 we will need office space!</t>
  </si>
  <si>
    <t>Marketing</t>
  </si>
  <si>
    <t>produce videos</t>
  </si>
  <si>
    <t>create new videos</t>
  </si>
  <si>
    <t>curriculum guide (print/pdf)</t>
  </si>
  <si>
    <t>update guide</t>
  </si>
  <si>
    <t>biz cards</t>
  </si>
  <si>
    <t>biz cards for trainers</t>
  </si>
  <si>
    <t>url</t>
  </si>
  <si>
    <t>server host</t>
  </si>
  <si>
    <t>Total Fixed Costs</t>
  </si>
  <si>
    <t>Variable Costs for in-person training</t>
  </si>
  <si>
    <t>per class of 20</t>
  </si>
  <si>
    <t>Variable w/# of classes</t>
  </si>
  <si>
    <t>Title--lead trainer</t>
  </si>
  <si>
    <t>100/hr * 3 hrs</t>
  </si>
  <si>
    <t>Title--second trainer</t>
  </si>
  <si>
    <t>50/hr * 3 hrs</t>
  </si>
  <si>
    <t>Title--onsite coordinator</t>
  </si>
  <si>
    <t>25/hr * 5 hrs (gets rental, snacks, sets up room, etc)</t>
  </si>
  <si>
    <t>Event costs</t>
  </si>
  <si>
    <t>Travel for lead trainer</t>
  </si>
  <si>
    <t>airfare, hotel, meals</t>
  </si>
  <si>
    <t>Space rental</t>
  </si>
  <si>
    <t>free</t>
  </si>
  <si>
    <t>Equipment rental</t>
  </si>
  <si>
    <t>screen (trainer bringsprojector, mike)</t>
  </si>
  <si>
    <t>Snacks</t>
  </si>
  <si>
    <t>assume 20 people</t>
  </si>
  <si>
    <t>Total Variable Costs</t>
  </si>
  <si>
    <t>$105-32/person trained</t>
  </si>
  <si>
    <t>Variable Costs for web-based training</t>
  </si>
  <si>
    <t>100/hr * 4 hrs</t>
  </si>
  <si>
    <t>$20/person trained</t>
  </si>
  <si>
    <t>Startup</t>
  </si>
  <si>
    <t>Ongoing</t>
  </si>
  <si>
    <t>True Cost per Training IF</t>
  </si>
  <si>
    <t># people/mo</t>
  </si>
  <si>
    <t>Cost/training</t>
  </si>
  <si>
    <t>startup:</t>
  </si>
  <si>
    <t>4 in person trainings/mo per 20</t>
  </si>
  <si>
    <t>2 online trainings/mo per 20</t>
  </si>
  <si>
    <t>startup cost will be up to $110,400 per year for first year</t>
  </si>
  <si>
    <t xml:space="preserve">Ongoing: </t>
  </si>
  <si>
    <t>12 inperson trainings/mo per 20</t>
  </si>
  <si>
    <t>6 webinar trainings/mo per 30</t>
  </si>
  <si>
    <t>Cost per trainee if run 8 inperson and 6 webinar/month at ongoing cost rate</t>
  </si>
  <si>
    <t>Total Variable Cost at 18 train/mo</t>
  </si>
  <si>
    <t>Total Cost</t>
  </si>
  <si>
    <t>Total Balance</t>
  </si>
  <si>
    <t>but see question re: FNP/ taxes</t>
  </si>
  <si>
    <t>2013 Annual Meeting Budget</t>
  </si>
  <si>
    <t>Non-Member Meeting Fees</t>
  </si>
  <si>
    <t>Estimated</t>
  </si>
  <si>
    <t>Expenses</t>
  </si>
  <si>
    <t xml:space="preserve">  Equipment Rental</t>
  </si>
  <si>
    <t xml:space="preserve">  Supplies</t>
  </si>
  <si>
    <t xml:space="preserve">  Postage</t>
  </si>
  <si>
    <t>Meals &amp; Entertainment</t>
  </si>
  <si>
    <t xml:space="preserve">  Wednesday Pre-meeting</t>
  </si>
  <si>
    <t xml:space="preserve">  Thursday</t>
  </si>
  <si>
    <t xml:space="preserve">  Friday</t>
  </si>
  <si>
    <t xml:space="preserve">  Wednesday Cocktails</t>
  </si>
  <si>
    <t xml:space="preserve">  Thursday Cocktails</t>
  </si>
  <si>
    <t>Wed Night Venue</t>
  </si>
  <si>
    <t>Thurs Night Venue</t>
  </si>
  <si>
    <t>At TRNN (in-kind sponsor)</t>
  </si>
  <si>
    <t xml:space="preserve">  Thursday Hors D'oeuvres</t>
  </si>
  <si>
    <t xml:space="preserve">  TMC Director Travel</t>
  </si>
  <si>
    <t>Event Rental</t>
  </si>
  <si>
    <t>Supplies and Misc</t>
  </si>
  <si>
    <t>Subtotal</t>
  </si>
  <si>
    <t>Total Expenses</t>
  </si>
  <si>
    <t>Restricted Donations</t>
  </si>
  <si>
    <t>Wyndham Meeting Rooms Free w/Catering, Room Guarantee</t>
  </si>
  <si>
    <t>Note: Meals reflect contract specifying 40 people on Wed, 85 on Thurs, 85 on Fri.</t>
  </si>
  <si>
    <t>Non-Member meeting fees</t>
  </si>
  <si>
    <t>Based on Proposed Budget!</t>
  </si>
  <si>
    <t>MDF Requested (Proposal was for $30k)</t>
  </si>
  <si>
    <t>Some FNP taken in 2012</t>
  </si>
  <si>
    <t>2200 spent in 2012</t>
  </si>
  <si>
    <t>time</t>
  </si>
  <si>
    <t>Restricted Donation</t>
  </si>
  <si>
    <t>Staff time-Labs (Director: 5%)</t>
  </si>
  <si>
    <t>Staff time-Annual Meeting (Director: 11% )</t>
  </si>
  <si>
    <r>
      <t>Staff Time (Director: 30%</t>
    </r>
    <r>
      <rPr>
        <sz val="10"/>
        <rFont val="Verdana"/>
        <family val="0"/>
      </rPr>
      <t>)</t>
    </r>
  </si>
  <si>
    <t>FNP Overhead (ind donors)</t>
  </si>
  <si>
    <t>Staff Time (Director: 30%)</t>
  </si>
  <si>
    <t>Note that we are actually -9000 because we can't cover the overhead; money is set to go to capacity grants.</t>
  </si>
  <si>
    <t xml:space="preserve">  Volunteer Manager</t>
  </si>
  <si>
    <t>Approved 2013</t>
  </si>
  <si>
    <t>Wyndham Free w/Catering, Room Guarantee</t>
  </si>
  <si>
    <t xml:space="preserve">  Server Fee (Wed-Fri)</t>
  </si>
  <si>
    <t>Sponsored by Better Paper Project</t>
  </si>
  <si>
    <t>Sponsored by TRNN</t>
  </si>
  <si>
    <t xml:space="preserve">  Guest Speakers--Travel</t>
  </si>
  <si>
    <t xml:space="preserve">  Guest Speakers--Hotel</t>
  </si>
  <si>
    <t>mikes, dais, screen</t>
  </si>
  <si>
    <t>final</t>
  </si>
  <si>
    <t>payable to TRNN</t>
  </si>
  <si>
    <t>Program</t>
  </si>
  <si>
    <t xml:space="preserve">  Volunteer Manager-hotel</t>
  </si>
  <si>
    <t>mail banner</t>
  </si>
  <si>
    <t>$238 for markers,nametags + 138 for copies</t>
  </si>
  <si>
    <t>Actual</t>
  </si>
  <si>
    <t>2013 MPREP Budget</t>
  </si>
  <si>
    <t>REVENUE</t>
  </si>
  <si>
    <t>Restricted to MPREP</t>
  </si>
  <si>
    <t xml:space="preserve">  MDF</t>
  </si>
  <si>
    <t>Restricted to MPREP program</t>
  </si>
  <si>
    <t>Restricted for Travel to NCMR</t>
  </si>
  <si>
    <t>From Other Sources</t>
  </si>
  <si>
    <t>(FNP fee already taken from these monies)</t>
  </si>
  <si>
    <t xml:space="preserve">  IILab Metrics Project</t>
  </si>
  <si>
    <t>$$ in hand: this lab compensates outlets for collaborative work that fits the needs of the metrics project</t>
  </si>
  <si>
    <t xml:space="preserve">  TMC Staff</t>
  </si>
  <si>
    <t>Admin Costs</t>
  </si>
  <si>
    <t xml:space="preserve">  Webinar Software</t>
  </si>
  <si>
    <t>ad-free software</t>
  </si>
  <si>
    <t xml:space="preserve">  Fiscal Sponsor Fee</t>
  </si>
  <si>
    <t xml:space="preserve">  Sustaining Grant</t>
  </si>
  <si>
    <t xml:space="preserve">  Travel to NCMR</t>
  </si>
  <si>
    <t>Pizza/Refreshments at NCMR meeting (at FSTV)</t>
  </si>
  <si>
    <t>Total Expense</t>
  </si>
  <si>
    <t>final: $545 hotel and $699.20 plane and $20.40 supershuttle</t>
  </si>
  <si>
    <t>final --for detail on speaker cost see meeting program</t>
  </si>
  <si>
    <t>Project Management (payable as $1250/month)</t>
  </si>
  <si>
    <t>11 reporters at 9 outlets @ $1000</t>
  </si>
  <si>
    <t>for 7 TMC outlets requesting funds for 9 reporters to NCMR (see sheet)</t>
  </si>
  <si>
    <t>pschurmann@newamericamedia.org</t>
  </si>
  <si>
    <t>Total # of Reporters</t>
  </si>
  <si>
    <t>Total # of Outlets</t>
  </si>
  <si>
    <t>Paid from Travel Grant</t>
  </si>
  <si>
    <t>PressPass</t>
  </si>
  <si>
    <t>current</t>
  </si>
  <si>
    <t>Making Contact</t>
  </si>
  <si>
    <t>n/a</t>
  </si>
  <si>
    <t>nvijdirector@gmail.com</t>
  </si>
  <si>
    <t>Linda Jue</t>
  </si>
  <si>
    <t>GWW</t>
  </si>
  <si>
    <t>ruik@chicagoreporter.com</t>
  </si>
  <si>
    <t>Rui Kaneya</t>
  </si>
  <si>
    <t>Chicago Reporter</t>
  </si>
  <si>
    <t>jhebert@motherjones.com</t>
  </si>
  <si>
    <t>Jacques Herbert</t>
  </si>
  <si>
    <t>Mother Jones</t>
  </si>
  <si>
    <t>smanneh@newamericamedia.org</t>
  </si>
  <si>
    <t>Suzanne Manneh</t>
  </si>
  <si>
    <t>New America Media</t>
  </si>
  <si>
    <t>Peter Schurmann</t>
  </si>
  <si>
    <t>sgleason@yesmagazine.org</t>
  </si>
  <si>
    <t>Emily Stoner</t>
  </si>
  <si>
    <t>Molly Lunn</t>
  </si>
  <si>
    <t>Yes!</t>
  </si>
  <si>
    <t>(with me)</t>
  </si>
  <si>
    <t>Former</t>
  </si>
  <si>
    <t>fsrn.dc@gmail.com</t>
  </si>
  <si>
    <t>Alice Ollstein</t>
  </si>
  <si>
    <t>FSRN</t>
  </si>
  <si>
    <t>Other TMC Members</t>
  </si>
  <si>
    <t>MPREP outlets guaranteed funding</t>
  </si>
  <si>
    <t>suecapsal@aol.com</t>
  </si>
  <si>
    <t>Sue Salinger</t>
  </si>
  <si>
    <t>KGNU</t>
  </si>
  <si>
    <t>jesse.luna@gmail.com</t>
  </si>
  <si>
    <t>Jesse Luna</t>
  </si>
  <si>
    <t>News Taco</t>
  </si>
  <si>
    <t>salimahamirani@gmail.com</t>
  </si>
  <si>
    <t>Salima Hamirani</t>
  </si>
  <si>
    <t>glavender@radioproject.org</t>
  </si>
  <si>
    <t>George Lavender</t>
  </si>
  <si>
    <t>*Mark needs own room/confidential</t>
  </si>
  <si>
    <t>478.51*</t>
  </si>
  <si>
    <t>former/current</t>
  </si>
  <si>
    <t>markscheerer@verizon.net</t>
  </si>
  <si>
    <t>Mark Sheerer</t>
  </si>
  <si>
    <t>PNS</t>
  </si>
  <si>
    <t>leticiadmiranda@gmail.com</t>
  </si>
  <si>
    <t>The Nation</t>
  </si>
  <si>
    <t>mike@truthout.org</t>
  </si>
  <si>
    <t>Mike Ludwig</t>
  </si>
  <si>
    <t>Truthout</t>
  </si>
  <si>
    <t>nick.coleman@theuptake.org</t>
  </si>
  <si>
    <t>Nick Coleman</t>
  </si>
  <si>
    <t>The Uptake</t>
  </si>
  <si>
    <t>ken@inthesetimes.com</t>
  </si>
  <si>
    <t>Ken Rapoza</t>
  </si>
  <si>
    <t>In These Times</t>
  </si>
  <si>
    <t>em.crockett@gmail.com</t>
  </si>
  <si>
    <t>Emily Crockett</t>
  </si>
  <si>
    <t>Campus Progress</t>
  </si>
  <si>
    <t>Current MPREP Members</t>
  </si>
  <si>
    <t>Net Needed</t>
  </si>
  <si>
    <t>Total Needed</t>
  </si>
  <si>
    <t>Reg</t>
  </si>
  <si>
    <t>Food</t>
  </si>
  <si>
    <t>Hotel</t>
  </si>
  <si>
    <t>Taxi, etc.</t>
  </si>
  <si>
    <t>Airfare</t>
  </si>
  <si>
    <t>Add. Req.</t>
  </si>
  <si>
    <t>MPREP $$</t>
  </si>
  <si>
    <t>MRPEP Status</t>
  </si>
  <si>
    <t>Reporter</t>
  </si>
  <si>
    <t>Outlet</t>
  </si>
  <si>
    <t>NCMR Stipend Applicants</t>
  </si>
  <si>
    <t>Media Democracy Fund (Travel Grants to NCMR)</t>
  </si>
  <si>
    <t>Making Contact (via a donor)</t>
  </si>
  <si>
    <t>Better Paper Project sponsored TMC reception</t>
  </si>
  <si>
    <t>Total  Revenue</t>
  </si>
  <si>
    <t>MPREP Travel Fund to NCMR</t>
  </si>
  <si>
    <t>Carryover Expense from prior year</t>
  </si>
  <si>
    <t>Actual t/d 2013</t>
  </si>
  <si>
    <t>Red = invoiced</t>
  </si>
  <si>
    <t>Grist</t>
  </si>
  <si>
    <t>Susie Cagle</t>
  </si>
  <si>
    <t xml:space="preserve">  Misc</t>
  </si>
  <si>
    <t xml:space="preserve">  Travel for MPREP outlets</t>
  </si>
  <si>
    <t>Fiscal sponsor fee of 7% (2100 + 700)</t>
  </si>
  <si>
    <t xml:space="preserve"> 9 reporters @ $500</t>
  </si>
  <si>
    <t xml:space="preserve">   Add Travel to NCMR</t>
  </si>
  <si>
    <t>Travel Grant to NCMR (MDF)</t>
  </si>
  <si>
    <t>MiniGrants to MPREP Outlets (MDF MPREP Grant)</t>
  </si>
  <si>
    <t>MiniGrants  (Metrics)</t>
  </si>
  <si>
    <t>Leticia Miranda</t>
  </si>
  <si>
    <t>susie.cagle@gmail.com</t>
  </si>
  <si>
    <t xml:space="preserve"> Travel for Project Director</t>
  </si>
  <si>
    <t>Quixote (ReproJustice)</t>
  </si>
  <si>
    <t>Proposal out</t>
  </si>
  <si>
    <t>300/mo for summer w/ SFPP</t>
  </si>
  <si>
    <t>Service Fees</t>
  </si>
  <si>
    <t>vocus</t>
  </si>
  <si>
    <t xml:space="preserve">vocus + </t>
  </si>
  <si>
    <t>Capacity Building</t>
  </si>
  <si>
    <t>Catchafire</t>
  </si>
  <si>
    <r>
      <t>Staff Time ($</t>
    </r>
    <r>
      <rPr>
        <sz val="10"/>
        <rFont val="Verdana"/>
        <family val="0"/>
      </rPr>
      <t>15,000</t>
    </r>
    <r>
      <rPr>
        <sz val="10"/>
        <rFont val="Verdana"/>
        <family val="0"/>
      </rPr>
      <t>)</t>
    </r>
  </si>
  <si>
    <t>Pixel Ping Metrics Tool</t>
  </si>
  <si>
    <t>Reproductive Justice Reporting Project Pilot--Budget Draft</t>
  </si>
  <si>
    <t>Projected Revenue</t>
  </si>
  <si>
    <t>Reproductive Justice</t>
  </si>
  <si>
    <t>Total Sought</t>
  </si>
  <si>
    <t>Projected Total Revenue</t>
  </si>
  <si>
    <t>Program Management</t>
  </si>
  <si>
    <t>Jo Ellen Green Kaiser</t>
  </si>
  <si>
    <t>Partnership Director</t>
  </si>
  <si>
    <t>Tiffany Shackleford</t>
  </si>
  <si>
    <t>content2 management</t>
  </si>
  <si>
    <t>donated AAN</t>
  </si>
  <si>
    <t>AAN staffer (5% time)</t>
  </si>
  <si>
    <t>social media publicist</t>
  </si>
  <si>
    <t>AAN intern</t>
  </si>
  <si>
    <t>Software/Communications</t>
  </si>
  <si>
    <t>cont3nt</t>
  </si>
  <si>
    <t>Reporting Partners (Regrants)</t>
  </si>
  <si>
    <t>Content</t>
  </si>
  <si>
    <t>Production</t>
  </si>
  <si>
    <t>Distribution</t>
  </si>
  <si>
    <t>Overhead</t>
  </si>
  <si>
    <t>AAN members (3)</t>
  </si>
  <si>
    <t>donated</t>
  </si>
  <si>
    <t>$750 grants (assume 5 participants)</t>
  </si>
  <si>
    <t>TMC Print/Digital members (4)</t>
  </si>
  <si>
    <t>$2000 grants (assume 4 participants: PNS, Bitch, Ms, In These Times)</t>
  </si>
  <si>
    <t>TMC Radio members (1)</t>
  </si>
  <si>
    <t>$4500 grant ( Making Contact)</t>
  </si>
  <si>
    <t>Communications Partners</t>
  </si>
  <si>
    <t>Care2</t>
  </si>
  <si>
    <t>Petitions</t>
  </si>
  <si>
    <t>Infographics Contractor</t>
  </si>
  <si>
    <t>Create infographics from data (JGK to supervise)</t>
  </si>
  <si>
    <t>Fiscal Sponsor/FNP</t>
  </si>
  <si>
    <t>7% of total grant revenue</t>
  </si>
  <si>
    <t>Totals</t>
  </si>
  <si>
    <t>AAN Manager</t>
  </si>
  <si>
    <t>Social Media/ PR Contractor</t>
  </si>
  <si>
    <t>RJ Reporting Fund (12,500 to TMC; 3750 to AAN)</t>
  </si>
  <si>
    <t>Staff Time ($4500)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</si>
</sst>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&quot;$&quot;#,##0.000"/>
    <numFmt numFmtId="171" formatCode="&quot;$&quot;#,##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7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Verdana"/>
      <family val="0"/>
    </font>
    <font>
      <u val="single"/>
      <sz val="10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2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0"/>
      <color indexed="17"/>
      <name val="Verdana"/>
      <family val="0"/>
    </font>
    <font>
      <b/>
      <sz val="10"/>
      <color indexed="17"/>
      <name val="Verdana"/>
      <family val="0"/>
    </font>
    <font>
      <b/>
      <sz val="12"/>
      <color indexed="8"/>
      <name val="Calibri"/>
      <family val="2"/>
    </font>
    <font>
      <sz val="10"/>
      <color indexed="19"/>
      <name val="Verdana"/>
      <family val="0"/>
    </font>
    <font>
      <sz val="12"/>
      <color indexed="62"/>
      <name val="Calibri"/>
      <family val="0"/>
    </font>
    <font>
      <b/>
      <sz val="12"/>
      <color indexed="62"/>
      <name val="Calibri"/>
      <family val="0"/>
    </font>
    <font>
      <sz val="12"/>
      <color indexed="19"/>
      <name val="Calibri"/>
      <family val="0"/>
    </font>
    <font>
      <u val="single"/>
      <sz val="12"/>
      <color indexed="8"/>
      <name val="Calibri"/>
      <family val="0"/>
    </font>
    <font>
      <sz val="12"/>
      <name val="Calibri"/>
      <family val="0"/>
    </font>
    <font>
      <sz val="12"/>
      <color indexed="10"/>
      <name val="Calibri"/>
      <family val="2"/>
    </font>
    <font>
      <b/>
      <sz val="12"/>
      <color indexed="10"/>
      <name val="Calibri"/>
      <family val="0"/>
    </font>
    <font>
      <b/>
      <sz val="12"/>
      <color indexed="1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10"/>
      <color rgb="FF008000"/>
      <name val="Verdana"/>
      <family val="0"/>
    </font>
    <font>
      <b/>
      <sz val="10"/>
      <color rgb="FF008000"/>
      <name val="Verdana"/>
      <family val="0"/>
    </font>
    <font>
      <b/>
      <sz val="12"/>
      <color theme="1"/>
      <name val="Calibri"/>
      <family val="2"/>
    </font>
    <font>
      <sz val="10"/>
      <color theme="5"/>
      <name val="Verdana"/>
      <family val="0"/>
    </font>
    <font>
      <b/>
      <sz val="10"/>
      <color rgb="FFFF0000"/>
      <name val="Verdana"/>
      <family val="0"/>
    </font>
    <font>
      <sz val="12"/>
      <color theme="3"/>
      <name val="Calibri"/>
      <family val="0"/>
    </font>
    <font>
      <b/>
      <sz val="12"/>
      <color theme="3"/>
      <name val="Calibri"/>
      <family val="0"/>
    </font>
    <font>
      <sz val="12"/>
      <color theme="5"/>
      <name val="Calibri"/>
      <family val="0"/>
    </font>
    <font>
      <u val="single"/>
      <sz val="12"/>
      <color theme="1"/>
      <name val="Calibri"/>
      <family val="0"/>
    </font>
    <font>
      <sz val="12"/>
      <color rgb="FFFF0000"/>
      <name val="Calibri"/>
      <family val="2"/>
    </font>
    <font>
      <b/>
      <sz val="12"/>
      <color rgb="FFFF0000"/>
      <name val="Calibri"/>
      <family val="0"/>
    </font>
    <font>
      <b/>
      <sz val="12"/>
      <color theme="6" tint="-0.4999699890613556"/>
      <name val="Calibri"/>
      <family val="0"/>
    </font>
    <font>
      <sz val="12"/>
      <color theme="6" tint="-0.4999699890613556"/>
      <name val="Calibri"/>
      <family val="0"/>
    </font>
    <font>
      <b/>
      <sz val="12"/>
      <color theme="4" tint="-0.4999699890613556"/>
      <name val="Calibri"/>
      <family val="0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3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50" fillId="0" borderId="0">
      <alignment/>
      <protection/>
    </xf>
    <xf numFmtId="0" fontId="0" fillId="29" borderId="7" applyNumberFormat="0" applyFont="0" applyAlignment="0" applyProtection="0"/>
    <xf numFmtId="0" fontId="51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4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0" borderId="0" xfId="0" applyNumberFormat="1" applyFont="1" applyFill="1" applyAlignment="1">
      <alignment/>
    </xf>
    <xf numFmtId="3" fontId="5" fillId="30" borderId="0" xfId="0" applyNumberFormat="1" applyFont="1" applyFill="1" applyAlignment="1">
      <alignment/>
    </xf>
    <xf numFmtId="3" fontId="0" fillId="30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10" fillId="0" borderId="0" xfId="0" applyFont="1" applyAlignment="1">
      <alignment/>
    </xf>
    <xf numFmtId="9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0" fontId="58" fillId="0" borderId="0" xfId="0" applyFont="1" applyAlignment="1">
      <alignment/>
    </xf>
    <xf numFmtId="3" fontId="5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60" fillId="31" borderId="0" xfId="0" applyFont="1" applyFill="1" applyAlignment="1">
      <alignment/>
    </xf>
    <xf numFmtId="168" fontId="60" fillId="31" borderId="0" xfId="0" applyNumberFormat="1" applyFont="1" applyFill="1" applyAlignment="1">
      <alignment/>
    </xf>
    <xf numFmtId="168" fontId="0" fillId="0" borderId="0" xfId="0" applyNumberFormat="1" applyFont="1" applyAlignment="1">
      <alignment/>
    </xf>
    <xf numFmtId="168" fontId="57" fillId="0" borderId="0" xfId="0" applyNumberFormat="1" applyFont="1" applyAlignment="1">
      <alignment/>
    </xf>
    <xf numFmtId="0" fontId="61" fillId="0" borderId="0" xfId="0" applyFont="1" applyAlignment="1">
      <alignment/>
    </xf>
    <xf numFmtId="168" fontId="6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62" fillId="0" borderId="0" xfId="0" applyFont="1" applyAlignment="1">
      <alignment/>
    </xf>
    <xf numFmtId="168" fontId="62" fillId="0" borderId="0" xfId="0" applyNumberFormat="1" applyFont="1" applyAlignment="1">
      <alignment/>
    </xf>
    <xf numFmtId="169" fontId="57" fillId="0" borderId="0" xfId="0" applyNumberFormat="1" applyFont="1" applyAlignment="1">
      <alignment/>
    </xf>
    <xf numFmtId="0" fontId="57" fillId="6" borderId="0" xfId="0" applyFont="1" applyFill="1" applyAlignment="1">
      <alignment/>
    </xf>
    <xf numFmtId="168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57" fillId="6" borderId="0" xfId="0" applyFont="1" applyFill="1" applyAlignment="1">
      <alignment horizontal="left"/>
    </xf>
    <xf numFmtId="168" fontId="57" fillId="6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9" fontId="0" fillId="0" borderId="0" xfId="59" applyFont="1" applyAlignment="1">
      <alignment horizontal="right"/>
    </xf>
    <xf numFmtId="0" fontId="50" fillId="0" borderId="0" xfId="56">
      <alignment/>
      <protection/>
    </xf>
    <xf numFmtId="168" fontId="50" fillId="0" borderId="0" xfId="56" applyNumberFormat="1">
      <alignment/>
      <protection/>
    </xf>
    <xf numFmtId="0" fontId="57" fillId="0" borderId="0" xfId="56" applyFont="1">
      <alignment/>
      <protection/>
    </xf>
    <xf numFmtId="0" fontId="63" fillId="0" borderId="0" xfId="56" applyFont="1">
      <alignment/>
      <protection/>
    </xf>
    <xf numFmtId="0" fontId="36" fillId="0" borderId="0" xfId="56" applyFont="1">
      <alignment/>
      <protection/>
    </xf>
    <xf numFmtId="0" fontId="63" fillId="0" borderId="0" xfId="56" applyFont="1" applyAlignment="1">
      <alignment horizontal="right"/>
      <protection/>
    </xf>
    <xf numFmtId="0" fontId="57" fillId="0" borderId="0" xfId="56" applyFont="1" applyAlignment="1">
      <alignment horizontal="left"/>
      <protection/>
    </xf>
    <xf numFmtId="168" fontId="57" fillId="0" borderId="0" xfId="56" applyNumberFormat="1" applyFont="1">
      <alignment/>
      <protection/>
    </xf>
    <xf numFmtId="168" fontId="0" fillId="31" borderId="0" xfId="0" applyNumberFormat="1" applyFill="1" applyAlignment="1">
      <alignment/>
    </xf>
    <xf numFmtId="168" fontId="2" fillId="31" borderId="0" xfId="0" applyNumberFormat="1" applyFont="1" applyFill="1" applyAlignment="1">
      <alignment/>
    </xf>
    <xf numFmtId="168" fontId="0" fillId="31" borderId="0" xfId="0" applyNumberFormat="1" applyFont="1" applyFill="1" applyAlignment="1">
      <alignment/>
    </xf>
    <xf numFmtId="168" fontId="0" fillId="32" borderId="0" xfId="0" applyNumberFormat="1" applyFill="1" applyAlignment="1">
      <alignment/>
    </xf>
    <xf numFmtId="168" fontId="2" fillId="32" borderId="0" xfId="0" applyNumberFormat="1" applyFont="1" applyFill="1" applyAlignment="1">
      <alignment horizontal="right"/>
    </xf>
    <xf numFmtId="168" fontId="2" fillId="32" borderId="0" xfId="0" applyNumberFormat="1" applyFont="1" applyFill="1" applyAlignment="1">
      <alignment/>
    </xf>
    <xf numFmtId="168" fontId="0" fillId="32" borderId="0" xfId="0" applyNumberFormat="1" applyFont="1" applyFill="1" applyAlignment="1">
      <alignment/>
    </xf>
    <xf numFmtId="168" fontId="11" fillId="32" borderId="0" xfId="0" applyNumberFormat="1" applyFont="1" applyFill="1" applyAlignment="1">
      <alignment/>
    </xf>
    <xf numFmtId="168" fontId="50" fillId="32" borderId="0" xfId="56" applyNumberFormat="1" applyFill="1">
      <alignment/>
      <protection/>
    </xf>
    <xf numFmtId="168" fontId="64" fillId="32" borderId="0" xfId="56" applyNumberFormat="1" applyFont="1" applyFill="1">
      <alignment/>
      <protection/>
    </xf>
    <xf numFmtId="168" fontId="57" fillId="32" borderId="0" xfId="56" applyNumberFormat="1" applyFont="1" applyFill="1">
      <alignment/>
      <protection/>
    </xf>
    <xf numFmtId="168" fontId="46" fillId="0" borderId="0" xfId="52" applyNumberFormat="1" applyAlignment="1">
      <alignment/>
    </xf>
    <xf numFmtId="168" fontId="50" fillId="0" borderId="0" xfId="56" applyNumberFormat="1" applyAlignment="1">
      <alignment horizontal="right"/>
      <protection/>
    </xf>
    <xf numFmtId="0" fontId="50" fillId="0" borderId="0" xfId="56" applyFont="1">
      <alignment/>
      <protection/>
    </xf>
    <xf numFmtId="0" fontId="46" fillId="0" borderId="0" xfId="52" applyAlignment="1">
      <alignment/>
    </xf>
    <xf numFmtId="3" fontId="0" fillId="32" borderId="0" xfId="0" applyNumberFormat="1" applyFill="1" applyAlignment="1">
      <alignment/>
    </xf>
    <xf numFmtId="3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58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0" fillId="31" borderId="0" xfId="0" applyNumberFormat="1" applyFill="1" applyAlignment="1">
      <alignment/>
    </xf>
    <xf numFmtId="3" fontId="0" fillId="31" borderId="0" xfId="0" applyNumberFormat="1" applyFill="1" applyAlignment="1">
      <alignment horizontal="right"/>
    </xf>
    <xf numFmtId="3" fontId="2" fillId="31" borderId="0" xfId="0" applyNumberFormat="1" applyFont="1" applyFill="1" applyAlignment="1">
      <alignment horizontal="right"/>
    </xf>
    <xf numFmtId="3" fontId="0" fillId="31" borderId="0" xfId="0" applyNumberFormat="1" applyFont="1" applyFill="1" applyAlignment="1">
      <alignment/>
    </xf>
    <xf numFmtId="3" fontId="0" fillId="31" borderId="0" xfId="0" applyNumberFormat="1" applyFont="1" applyFill="1" applyAlignment="1">
      <alignment/>
    </xf>
    <xf numFmtId="3" fontId="54" fillId="31" borderId="0" xfId="0" applyNumberFormat="1" applyFont="1" applyFill="1" applyAlignment="1">
      <alignment/>
    </xf>
    <xf numFmtId="3" fontId="58" fillId="31" borderId="0" xfId="0" applyNumberFormat="1" applyFont="1" applyFill="1" applyAlignment="1">
      <alignment/>
    </xf>
    <xf numFmtId="3" fontId="2" fillId="31" borderId="0" xfId="0" applyNumberFormat="1" applyFont="1" applyFill="1" applyAlignment="1">
      <alignment/>
    </xf>
    <xf numFmtId="3" fontId="0" fillId="31" borderId="0" xfId="0" applyNumberFormat="1" applyFont="1" applyFill="1" applyAlignment="1">
      <alignment/>
    </xf>
    <xf numFmtId="3" fontId="2" fillId="31" borderId="0" xfId="0" applyNumberFormat="1" applyFont="1" applyFill="1" applyAlignment="1">
      <alignment/>
    </xf>
    <xf numFmtId="3" fontId="5" fillId="31" borderId="0" xfId="0" applyNumberFormat="1" applyFont="1" applyFill="1" applyAlignment="1">
      <alignment/>
    </xf>
    <xf numFmtId="3" fontId="2" fillId="31" borderId="0" xfId="0" applyNumberFormat="1" applyFont="1" applyFill="1" applyAlignment="1">
      <alignment/>
    </xf>
    <xf numFmtId="3" fontId="2" fillId="31" borderId="0" xfId="0" applyNumberFormat="1" applyFont="1" applyFill="1" applyAlignment="1">
      <alignment/>
    </xf>
    <xf numFmtId="3" fontId="0" fillId="31" borderId="0" xfId="0" applyNumberFormat="1" applyFont="1" applyFill="1" applyAlignment="1">
      <alignment/>
    </xf>
    <xf numFmtId="3" fontId="5" fillId="31" borderId="0" xfId="0" applyNumberFormat="1" applyFont="1" applyFill="1" applyAlignment="1">
      <alignment/>
    </xf>
    <xf numFmtId="3" fontId="59" fillId="31" borderId="0" xfId="0" applyNumberFormat="1" applyFont="1" applyFill="1" applyAlignment="1">
      <alignment/>
    </xf>
    <xf numFmtId="168" fontId="64" fillId="0" borderId="0" xfId="56" applyNumberFormat="1" applyFont="1">
      <alignment/>
      <protection/>
    </xf>
    <xf numFmtId="0" fontId="64" fillId="0" borderId="0" xfId="56" applyFont="1">
      <alignment/>
      <protection/>
    </xf>
    <xf numFmtId="168" fontId="65" fillId="0" borderId="0" xfId="56" applyNumberFormat="1" applyFont="1">
      <alignment/>
      <protection/>
    </xf>
    <xf numFmtId="168" fontId="36" fillId="0" borderId="0" xfId="56" applyNumberFormat="1" applyFont="1">
      <alignment/>
      <protection/>
    </xf>
    <xf numFmtId="0" fontId="0" fillId="0" borderId="0" xfId="0" applyAlignment="1">
      <alignment horizontal="right"/>
    </xf>
    <xf numFmtId="0" fontId="66" fillId="0" borderId="0" xfId="0" applyFont="1" applyAlignment="1">
      <alignment/>
    </xf>
    <xf numFmtId="0" fontId="57" fillId="0" borderId="0" xfId="0" applyFont="1" applyAlignment="1">
      <alignment horizontal="right"/>
    </xf>
    <xf numFmtId="0" fontId="67" fillId="0" borderId="0" xfId="0" applyFont="1" applyAlignment="1">
      <alignment/>
    </xf>
    <xf numFmtId="0" fontId="0" fillId="0" borderId="0" xfId="0" applyFont="1" applyAlignment="1">
      <alignment horizontal="right"/>
    </xf>
    <xf numFmtId="3" fontId="65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68" fillId="0" borderId="0" xfId="0" applyFont="1" applyAlignment="1">
      <alignment/>
    </xf>
    <xf numFmtId="3" fontId="69" fillId="0" borderId="0" xfId="0" applyNumberFormat="1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 horizontal="right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 horizontal="left"/>
    </xf>
    <xf numFmtId="169" fontId="6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ick.coleman@theuptake.org" TargetMode="External" /><Relationship Id="rId2" Type="http://schemas.openxmlformats.org/officeDocument/2006/relationships/hyperlink" Target="mailto:ken@inthesetimes.com" TargetMode="External" /><Relationship Id="rId3" Type="http://schemas.openxmlformats.org/officeDocument/2006/relationships/hyperlink" Target="mailto:em.crockett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A16">
      <selection activeCell="A25" sqref="A25:IV25"/>
    </sheetView>
  </sheetViews>
  <sheetFormatPr defaultColWidth="11.00390625" defaultRowHeight="12.75"/>
  <cols>
    <col min="1" max="1" width="46.625" style="0" customWidth="1"/>
    <col min="2" max="2" width="13.375" style="79" bestFit="1" customWidth="1"/>
    <col min="3" max="3" width="14.875" style="87" bestFit="1" customWidth="1"/>
    <col min="4" max="4" width="11.00390625" style="25" customWidth="1"/>
  </cols>
  <sheetData>
    <row r="1" ht="24.75" customHeight="1">
      <c r="A1" s="7" t="s">
        <v>99</v>
      </c>
    </row>
    <row r="2" ht="12.75">
      <c r="A2" s="17"/>
    </row>
    <row r="3" ht="12.75">
      <c r="A3" s="21" t="s">
        <v>77</v>
      </c>
    </row>
    <row r="4" ht="12.75">
      <c r="C4" s="88"/>
    </row>
    <row r="5" spans="1:5" ht="12.75">
      <c r="A5" s="3" t="s">
        <v>67</v>
      </c>
      <c r="B5" s="80" t="s">
        <v>429</v>
      </c>
      <c r="C5" s="89" t="s">
        <v>308</v>
      </c>
      <c r="D5" s="23" t="s">
        <v>59</v>
      </c>
      <c r="E5" s="7" t="s">
        <v>97</v>
      </c>
    </row>
    <row r="7" ht="12.75">
      <c r="A7" s="1" t="s">
        <v>13</v>
      </c>
    </row>
    <row r="8" spans="1:5" ht="12.75">
      <c r="A8" s="17" t="s">
        <v>60</v>
      </c>
      <c r="B8" s="77">
        <v>30000</v>
      </c>
      <c r="C8" s="90">
        <v>30000</v>
      </c>
      <c r="D8" s="25">
        <v>30000</v>
      </c>
      <c r="E8" s="27"/>
    </row>
    <row r="10" ht="12.75">
      <c r="A10" s="12" t="s">
        <v>10</v>
      </c>
    </row>
    <row r="11" spans="1:5" ht="12.75">
      <c r="A11" s="17" t="s">
        <v>35</v>
      </c>
      <c r="C11" s="91">
        <v>0</v>
      </c>
      <c r="D11" s="25">
        <v>10000</v>
      </c>
      <c r="E11" t="s">
        <v>78</v>
      </c>
    </row>
    <row r="12" spans="1:3" ht="12.75">
      <c r="A12" s="17"/>
      <c r="C12" s="91"/>
    </row>
    <row r="13" spans="1:5" s="17" customFormat="1" ht="12.75">
      <c r="A13" s="17" t="s">
        <v>64</v>
      </c>
      <c r="B13" s="78">
        <v>30000</v>
      </c>
      <c r="C13" s="90">
        <v>30000</v>
      </c>
      <c r="D13" s="25">
        <v>30000</v>
      </c>
      <c r="E13" s="17" t="s">
        <v>63</v>
      </c>
    </row>
    <row r="14" spans="1:5" s="17" customFormat="1" ht="12.75">
      <c r="A14" s="17" t="s">
        <v>423</v>
      </c>
      <c r="B14" s="78">
        <v>10000</v>
      </c>
      <c r="C14" s="90">
        <v>0</v>
      </c>
      <c r="D14" s="25"/>
      <c r="E14" s="17" t="s">
        <v>63</v>
      </c>
    </row>
    <row r="15" spans="1:5" ht="12.75">
      <c r="A15" s="17" t="s">
        <v>444</v>
      </c>
      <c r="B15" s="77">
        <v>30000</v>
      </c>
      <c r="E15" s="17" t="s">
        <v>445</v>
      </c>
    </row>
    <row r="16" spans="1:5" ht="12.75">
      <c r="A16" s="10" t="s">
        <v>11</v>
      </c>
      <c r="B16" s="87">
        <v>69000</v>
      </c>
      <c r="C16" s="87">
        <v>69000</v>
      </c>
      <c r="E16" t="s">
        <v>63</v>
      </c>
    </row>
    <row r="17" spans="1:5" ht="12.75">
      <c r="A17" s="17" t="s">
        <v>61</v>
      </c>
      <c r="B17" s="87">
        <v>22750</v>
      </c>
      <c r="C17" s="87">
        <v>22750</v>
      </c>
      <c r="D17" s="25">
        <v>2250</v>
      </c>
      <c r="E17" t="s">
        <v>75</v>
      </c>
    </row>
    <row r="18" spans="1:5" ht="12.75">
      <c r="A18" s="17" t="s">
        <v>62</v>
      </c>
      <c r="B18" s="87">
        <v>25000</v>
      </c>
      <c r="C18" s="87">
        <v>25000</v>
      </c>
      <c r="E18" t="s">
        <v>127</v>
      </c>
    </row>
    <row r="19" spans="1:5" ht="12.75">
      <c r="A19" s="17" t="s">
        <v>62</v>
      </c>
      <c r="B19" s="87">
        <v>25000</v>
      </c>
      <c r="C19" s="87">
        <v>25000</v>
      </c>
      <c r="E19" t="s">
        <v>66</v>
      </c>
    </row>
    <row r="20" spans="1:2" ht="12.75">
      <c r="A20" s="17"/>
      <c r="B20" s="87"/>
    </row>
    <row r="21" spans="1:5" ht="12.75">
      <c r="A21" s="17" t="s">
        <v>112</v>
      </c>
      <c r="C21" s="92">
        <v>0</v>
      </c>
      <c r="D21" s="25">
        <v>2500</v>
      </c>
      <c r="E21" s="17" t="s">
        <v>84</v>
      </c>
    </row>
    <row r="22" spans="1:5" ht="12.75">
      <c r="A22" s="17"/>
      <c r="E22" s="17"/>
    </row>
    <row r="23" spans="1:5" ht="12.75">
      <c r="A23" s="17" t="s">
        <v>58</v>
      </c>
      <c r="C23" s="87">
        <v>0</v>
      </c>
      <c r="E23" s="17" t="s">
        <v>65</v>
      </c>
    </row>
    <row r="24" spans="1:5" ht="12.75">
      <c r="A24" s="17"/>
      <c r="E24" s="17"/>
    </row>
    <row r="25" spans="1:6" ht="12.75">
      <c r="A25" s="7" t="s">
        <v>0</v>
      </c>
      <c r="B25" s="94">
        <f>SUM(B8:B24)</f>
        <v>241750</v>
      </c>
      <c r="C25" s="94">
        <f>SUM(C8:C24)</f>
        <v>201750</v>
      </c>
      <c r="D25" s="23">
        <f>SUM(D8:D24)</f>
        <v>74750</v>
      </c>
      <c r="E25" s="23"/>
      <c r="F25" s="23"/>
    </row>
    <row r="26" spans="1:3" ht="12.75">
      <c r="A26" s="7"/>
      <c r="C26" s="94"/>
    </row>
    <row r="27" spans="1:3" ht="12.75">
      <c r="A27" s="7" t="s">
        <v>36</v>
      </c>
      <c r="C27" s="94"/>
    </row>
    <row r="28" spans="1:5" s="18" customFormat="1" ht="12.75">
      <c r="A28" s="18" t="s">
        <v>37</v>
      </c>
      <c r="B28" s="82">
        <v>0</v>
      </c>
      <c r="C28" s="95">
        <v>0</v>
      </c>
      <c r="D28" s="25">
        <v>3482</v>
      </c>
      <c r="E28" s="17" t="s">
        <v>79</v>
      </c>
    </row>
    <row r="29" spans="1:5" s="33" customFormat="1" ht="12.75">
      <c r="A29" s="33" t="s">
        <v>129</v>
      </c>
      <c r="B29" s="90">
        <v>1000</v>
      </c>
      <c r="C29" s="90">
        <v>1000</v>
      </c>
      <c r="D29" s="25"/>
      <c r="E29" s="33" t="s">
        <v>424</v>
      </c>
    </row>
    <row r="30" spans="1:4" ht="12.75">
      <c r="A30" s="19" t="s">
        <v>38</v>
      </c>
      <c r="B30" s="94">
        <f>SUM(B28:B29)</f>
        <v>1000</v>
      </c>
      <c r="C30" s="94">
        <f>SUM(C28:C29)</f>
        <v>1000</v>
      </c>
      <c r="D30" s="23">
        <f>SUM(D28:D28)</f>
        <v>3482</v>
      </c>
    </row>
    <row r="31" ht="12.75">
      <c r="A31" s="1"/>
    </row>
    <row r="32" ht="12.75">
      <c r="A32" s="19" t="s">
        <v>44</v>
      </c>
    </row>
    <row r="33" spans="1:5" ht="12.75">
      <c r="A33" s="8" t="s">
        <v>21</v>
      </c>
      <c r="E33" s="17" t="s">
        <v>425</v>
      </c>
    </row>
    <row r="34" spans="1:4" ht="12.75">
      <c r="A34" s="17" t="s">
        <v>121</v>
      </c>
      <c r="C34" s="87">
        <v>0</v>
      </c>
      <c r="D34" s="25">
        <v>2500</v>
      </c>
    </row>
    <row r="35" spans="1:4" ht="12.75">
      <c r="A35" s="12" t="s">
        <v>9</v>
      </c>
      <c r="B35" s="23">
        <v>0</v>
      </c>
      <c r="C35" s="23">
        <v>0</v>
      </c>
      <c r="D35" s="23">
        <v>2500</v>
      </c>
    </row>
    <row r="37" ht="12.75">
      <c r="A37" s="1" t="s">
        <v>20</v>
      </c>
    </row>
    <row r="38" spans="1:5" ht="12.75">
      <c r="A38" t="s">
        <v>30</v>
      </c>
      <c r="B38" s="77">
        <v>24050</v>
      </c>
      <c r="C38" s="87">
        <v>18000</v>
      </c>
      <c r="D38" s="25">
        <v>25250</v>
      </c>
      <c r="E38" s="17" t="s">
        <v>68</v>
      </c>
    </row>
    <row r="39" spans="1:5" ht="12.75">
      <c r="A39" t="s">
        <v>18</v>
      </c>
      <c r="C39" s="87">
        <v>1000</v>
      </c>
      <c r="D39" s="25">
        <v>990</v>
      </c>
      <c r="E39" s="17" t="s">
        <v>52</v>
      </c>
    </row>
    <row r="40" spans="1:5" ht="12.75">
      <c r="A40" t="s">
        <v>447</v>
      </c>
      <c r="B40" s="79">
        <v>5750</v>
      </c>
      <c r="E40" s="17" t="s">
        <v>448</v>
      </c>
    </row>
    <row r="41" spans="1:5" s="33" customFormat="1" ht="12.75">
      <c r="A41" s="33" t="s">
        <v>138</v>
      </c>
      <c r="B41" s="90">
        <v>785</v>
      </c>
      <c r="C41" s="90">
        <v>785</v>
      </c>
      <c r="D41" s="25"/>
      <c r="E41" s="33" t="s">
        <v>139</v>
      </c>
    </row>
    <row r="42" spans="1:5" s="33" customFormat="1" ht="12.75">
      <c r="A42" s="33" t="s">
        <v>137</v>
      </c>
      <c r="B42" s="81"/>
      <c r="C42" s="93">
        <v>0</v>
      </c>
      <c r="D42" s="25"/>
      <c r="E42" s="33" t="s">
        <v>140</v>
      </c>
    </row>
    <row r="43" spans="1:6" ht="12.75">
      <c r="A43" s="1" t="s">
        <v>17</v>
      </c>
      <c r="B43" s="94">
        <f>SUM(B38:B42)</f>
        <v>30585</v>
      </c>
      <c r="C43" s="94">
        <f>SUM(C38:C42)</f>
        <v>19785</v>
      </c>
      <c r="D43" s="23">
        <f>SUM(D38:D39)</f>
        <v>26240</v>
      </c>
      <c r="E43" s="23"/>
      <c r="F43" s="23"/>
    </row>
    <row r="45" spans="1:6" ht="12.75">
      <c r="A45" s="3" t="s">
        <v>426</v>
      </c>
      <c r="B45" s="97">
        <f>SUM(B35+B30+B43+B25)</f>
        <v>273335</v>
      </c>
      <c r="C45" s="97">
        <f>SUM(C35+C30+C43+C25)</f>
        <v>222535</v>
      </c>
      <c r="D45" s="23">
        <f>SUM(D35+D30+D43+D25)</f>
        <v>106972</v>
      </c>
      <c r="E45" s="24"/>
      <c r="F45" s="24"/>
    </row>
    <row r="47" spans="1:7" ht="12.75">
      <c r="A47" s="3" t="s">
        <v>23</v>
      </c>
      <c r="C47" s="98" t="s">
        <v>80</v>
      </c>
      <c r="D47" s="23" t="s">
        <v>59</v>
      </c>
      <c r="E47" s="7" t="s">
        <v>98</v>
      </c>
      <c r="F47" s="7"/>
      <c r="G47" s="7"/>
    </row>
    <row r="48" ht="12.75">
      <c r="A48" s="1" t="s">
        <v>24</v>
      </c>
    </row>
    <row r="49" ht="12.75">
      <c r="A49" s="1"/>
    </row>
    <row r="50" ht="12.75">
      <c r="A50" s="11" t="s">
        <v>31</v>
      </c>
    </row>
    <row r="51" ht="12.75">
      <c r="A51" s="5" t="s">
        <v>1</v>
      </c>
    </row>
    <row r="52" spans="1:5" ht="12.75">
      <c r="A52" s="18" t="s">
        <v>39</v>
      </c>
      <c r="B52" s="77">
        <v>50000</v>
      </c>
      <c r="C52" s="87">
        <v>50000</v>
      </c>
      <c r="D52" s="25">
        <v>50000</v>
      </c>
      <c r="E52" s="17" t="s">
        <v>89</v>
      </c>
    </row>
    <row r="53" spans="1:5" ht="12.75">
      <c r="A53" s="17" t="s">
        <v>57</v>
      </c>
      <c r="B53" s="77">
        <v>17644</v>
      </c>
      <c r="C53" s="87">
        <v>17644</v>
      </c>
      <c r="D53" s="25">
        <v>17644</v>
      </c>
      <c r="E53" s="17" t="s">
        <v>94</v>
      </c>
    </row>
    <row r="54" ht="12.75">
      <c r="A54" s="18"/>
    </row>
    <row r="55" spans="1:4" s="19" customFormat="1" ht="12.75">
      <c r="A55" s="5" t="s">
        <v>40</v>
      </c>
      <c r="B55" s="83"/>
      <c r="C55" s="99"/>
      <c r="D55" s="23"/>
    </row>
    <row r="56" spans="1:4" s="19" customFormat="1" ht="12.75">
      <c r="A56" s="17" t="s">
        <v>82</v>
      </c>
      <c r="B56" s="83"/>
      <c r="C56" s="99"/>
      <c r="D56" s="25">
        <v>6813</v>
      </c>
    </row>
    <row r="57" spans="1:5" ht="12.75">
      <c r="A57" s="8" t="s">
        <v>49</v>
      </c>
      <c r="C57" s="87">
        <v>0</v>
      </c>
      <c r="D57" s="25">
        <v>8056</v>
      </c>
      <c r="E57" s="7" t="s">
        <v>154</v>
      </c>
    </row>
    <row r="58" spans="1:4" ht="12.75">
      <c r="A58" s="8" t="s">
        <v>50</v>
      </c>
      <c r="C58" s="87">
        <v>0</v>
      </c>
      <c r="D58" s="25">
        <v>2250</v>
      </c>
    </row>
    <row r="59" spans="1:5" ht="12.75">
      <c r="A59" s="17" t="s">
        <v>81</v>
      </c>
      <c r="C59" s="87">
        <v>2500</v>
      </c>
      <c r="D59" s="25">
        <v>720</v>
      </c>
      <c r="E59" t="s">
        <v>90</v>
      </c>
    </row>
    <row r="60" spans="1:5" ht="12.75">
      <c r="A60" s="17" t="s">
        <v>51</v>
      </c>
      <c r="C60" s="87">
        <v>0</v>
      </c>
      <c r="D60" s="25">
        <v>500</v>
      </c>
      <c r="E60" t="s">
        <v>69</v>
      </c>
    </row>
    <row r="61" spans="1:4" ht="12.75">
      <c r="A61" s="17" t="s">
        <v>53</v>
      </c>
      <c r="C61" s="87">
        <v>0</v>
      </c>
      <c r="D61" s="25">
        <v>518</v>
      </c>
    </row>
    <row r="62" spans="1:6" ht="12.75">
      <c r="A62" s="1" t="s">
        <v>25</v>
      </c>
      <c r="B62" s="94">
        <f>SUM(B51:B61)</f>
        <v>67644</v>
      </c>
      <c r="C62" s="94">
        <f>SUM(C51:C61)</f>
        <v>70144</v>
      </c>
      <c r="D62" s="23">
        <f>SUM(D51:D61)</f>
        <v>86501</v>
      </c>
      <c r="E62" s="6"/>
      <c r="F62" s="6"/>
    </row>
    <row r="64" ht="12.75">
      <c r="A64" s="1" t="s">
        <v>26</v>
      </c>
    </row>
    <row r="65" spans="1:4" ht="12.75">
      <c r="A65" s="17" t="s">
        <v>70</v>
      </c>
      <c r="B65" s="87">
        <f>B25*0.07+B30*0.07</f>
        <v>16992.5</v>
      </c>
      <c r="C65" s="87">
        <f>C25*0.07+C30*0.07</f>
        <v>14192.500000000002</v>
      </c>
      <c r="D65" s="22">
        <v>1959</v>
      </c>
    </row>
    <row r="66" spans="1:5" ht="12.75">
      <c r="A66" t="s">
        <v>15</v>
      </c>
      <c r="C66" s="87">
        <v>300</v>
      </c>
      <c r="D66" s="25">
        <v>53</v>
      </c>
      <c r="E66" t="s">
        <v>91</v>
      </c>
    </row>
    <row r="67" spans="1:5" ht="12.75">
      <c r="A67" t="s">
        <v>14</v>
      </c>
      <c r="B67" s="79">
        <v>900</v>
      </c>
      <c r="C67" s="87">
        <v>0</v>
      </c>
      <c r="D67" s="25">
        <v>0</v>
      </c>
      <c r="E67" s="17" t="s">
        <v>446</v>
      </c>
    </row>
    <row r="68" spans="1:5" ht="12.75">
      <c r="A68" s="17" t="s">
        <v>74</v>
      </c>
      <c r="B68" s="79">
        <v>6058</v>
      </c>
      <c r="C68" s="87">
        <v>1250</v>
      </c>
      <c r="D68" s="25">
        <v>743</v>
      </c>
      <c r="E68" s="17" t="s">
        <v>449</v>
      </c>
    </row>
    <row r="69" spans="1:5" ht="12.75">
      <c r="A69" s="18" t="s">
        <v>45</v>
      </c>
      <c r="C69" s="87">
        <v>750</v>
      </c>
      <c r="D69" s="25">
        <v>975</v>
      </c>
      <c r="E69" s="17" t="s">
        <v>91</v>
      </c>
    </row>
    <row r="70" spans="1:5" ht="12.75">
      <c r="A70" t="s">
        <v>46</v>
      </c>
      <c r="B70" s="79">
        <v>2273</v>
      </c>
      <c r="C70" s="87">
        <v>10000</v>
      </c>
      <c r="D70" s="25">
        <v>7500</v>
      </c>
      <c r="E70" s="17" t="s">
        <v>95</v>
      </c>
    </row>
    <row r="71" spans="1:5" s="10" customFormat="1" ht="12.75">
      <c r="A71" t="s">
        <v>47</v>
      </c>
      <c r="B71" s="84">
        <v>300</v>
      </c>
      <c r="C71" s="100">
        <v>2500</v>
      </c>
      <c r="D71" s="25">
        <v>2000</v>
      </c>
      <c r="E71" s="17" t="s">
        <v>93</v>
      </c>
    </row>
    <row r="72" spans="1:6" s="10" customFormat="1" ht="12.75">
      <c r="A72" s="12" t="s">
        <v>27</v>
      </c>
      <c r="B72" s="96">
        <f>SUM(B65:B71)</f>
        <v>26523.5</v>
      </c>
      <c r="C72" s="96">
        <f>SUM(C65:C71)</f>
        <v>28992.5</v>
      </c>
      <c r="D72" s="23">
        <f>SUM(D66:D71)</f>
        <v>11271</v>
      </c>
      <c r="E72" s="13"/>
      <c r="F72" s="13"/>
    </row>
    <row r="73" ht="12.75">
      <c r="A73" s="12"/>
    </row>
    <row r="74" spans="1:6" ht="12.75">
      <c r="A74" s="1" t="s">
        <v>28</v>
      </c>
      <c r="B74" s="94">
        <f>SUM(B62+B72)</f>
        <v>94167.5</v>
      </c>
      <c r="C74" s="94">
        <f>SUM(C62+C72)</f>
        <v>99136.5</v>
      </c>
      <c r="D74" s="23">
        <f>SUM(D62+D72)</f>
        <v>97772</v>
      </c>
      <c r="E74" s="6"/>
      <c r="F74" s="6"/>
    </row>
    <row r="76" ht="12.75">
      <c r="A76" s="3" t="s">
        <v>12</v>
      </c>
    </row>
    <row r="77" ht="12.75">
      <c r="A77" s="12" t="s">
        <v>32</v>
      </c>
    </row>
    <row r="78" spans="1:5" ht="12.75">
      <c r="A78" s="10" t="s">
        <v>34</v>
      </c>
      <c r="B78" s="77">
        <v>11107</v>
      </c>
      <c r="C78" s="87">
        <v>11000</v>
      </c>
      <c r="E78" t="s">
        <v>92</v>
      </c>
    </row>
    <row r="79" spans="1:5" ht="12.75">
      <c r="A79" s="18" t="s">
        <v>41</v>
      </c>
      <c r="E79" s="18" t="s">
        <v>48</v>
      </c>
    </row>
    <row r="80" spans="1:3" ht="12.75">
      <c r="A80" s="12" t="s">
        <v>33</v>
      </c>
      <c r="B80" s="96">
        <f>SUM(B78:B79)</f>
        <v>11107</v>
      </c>
      <c r="C80" s="96">
        <f>SUM(C78:C79)</f>
        <v>11000</v>
      </c>
    </row>
    <row r="82" spans="1:5" ht="12.75">
      <c r="A82" s="12" t="s">
        <v>3</v>
      </c>
      <c r="E82" s="2">
        <v>30000</v>
      </c>
    </row>
    <row r="83" ht="12.75">
      <c r="A83" s="17" t="s">
        <v>149</v>
      </c>
    </row>
    <row r="84" spans="1:5" ht="12.75">
      <c r="A84" s="17" t="s">
        <v>452</v>
      </c>
      <c r="E84" s="2"/>
    </row>
    <row r="85" spans="1:5" ht="12.75">
      <c r="A85" s="17" t="s">
        <v>453</v>
      </c>
      <c r="B85" s="79">
        <v>800</v>
      </c>
      <c r="E85" s="2"/>
    </row>
    <row r="86" spans="1:4" ht="12.75">
      <c r="A86" s="10" t="s">
        <v>2</v>
      </c>
      <c r="B86" s="77">
        <v>11000</v>
      </c>
      <c r="C86" s="87">
        <v>8250</v>
      </c>
      <c r="D86" s="25">
        <v>9000</v>
      </c>
    </row>
    <row r="87" spans="1:2" ht="12.75">
      <c r="A87" s="17" t="s">
        <v>427</v>
      </c>
      <c r="B87" s="77">
        <v>10850</v>
      </c>
    </row>
    <row r="88" spans="1:6" ht="12.75">
      <c r="A88" s="1" t="s">
        <v>16</v>
      </c>
      <c r="B88" s="94">
        <f>SUM(B85:B87)</f>
        <v>22650</v>
      </c>
      <c r="C88" s="94">
        <f>SUM(C86:C86)</f>
        <v>8250</v>
      </c>
      <c r="D88" s="23">
        <f>SUM(D86:D86)</f>
        <v>9000</v>
      </c>
      <c r="E88" s="6">
        <f>SUM(E86:E86)</f>
        <v>0</v>
      </c>
      <c r="F88" s="6"/>
    </row>
    <row r="89" spans="1:6" ht="12.75">
      <c r="A89" s="1"/>
      <c r="C89" s="94"/>
      <c r="D89" s="23"/>
      <c r="E89" s="6"/>
      <c r="F89" s="6"/>
    </row>
    <row r="90" spans="1:6" ht="12" customHeight="1">
      <c r="A90" s="7" t="s">
        <v>130</v>
      </c>
      <c r="C90" s="94"/>
      <c r="D90" s="23"/>
      <c r="E90" s="22">
        <v>25000</v>
      </c>
      <c r="F90" s="6"/>
    </row>
    <row r="91" spans="1:6" s="17" customFormat="1" ht="12.75">
      <c r="A91" s="17" t="s">
        <v>131</v>
      </c>
      <c r="B91" s="85"/>
      <c r="C91" s="90"/>
      <c r="D91" s="25"/>
      <c r="E91" s="22"/>
      <c r="F91" s="22"/>
    </row>
    <row r="92" spans="1:6" s="17" customFormat="1" ht="12.75">
      <c r="A92" s="17" t="s">
        <v>124</v>
      </c>
      <c r="B92" s="85"/>
      <c r="C92" s="90"/>
      <c r="D92" s="25"/>
      <c r="E92" s="22"/>
      <c r="F92" s="22"/>
    </row>
    <row r="93" spans="1:6" s="17" customFormat="1" ht="12.75">
      <c r="A93" s="17" t="s">
        <v>132</v>
      </c>
      <c r="B93" s="85"/>
      <c r="C93" s="90"/>
      <c r="D93" s="25"/>
      <c r="E93" s="22"/>
      <c r="F93" s="22"/>
    </row>
    <row r="94" spans="1:6" s="7" customFormat="1" ht="12.75">
      <c r="A94" s="7" t="s">
        <v>133</v>
      </c>
      <c r="B94" s="80"/>
      <c r="C94" s="98">
        <f>SUM(C91:C93)</f>
        <v>0</v>
      </c>
      <c r="D94" s="23"/>
      <c r="E94" s="9"/>
      <c r="F94" s="9"/>
    </row>
    <row r="95" spans="2:6" s="7" customFormat="1" ht="12.75">
      <c r="B95" s="80"/>
      <c r="C95" s="98"/>
      <c r="D95" s="23"/>
      <c r="E95" s="9"/>
      <c r="F95" s="9"/>
    </row>
    <row r="96" spans="1:6" ht="12" customHeight="1">
      <c r="A96" s="7" t="s">
        <v>143</v>
      </c>
      <c r="C96" s="94"/>
      <c r="D96" s="23"/>
      <c r="E96" s="22">
        <v>25000</v>
      </c>
      <c r="F96" s="6"/>
    </row>
    <row r="97" spans="1:6" s="17" customFormat="1" ht="12.75">
      <c r="A97" s="17" t="s">
        <v>131</v>
      </c>
      <c r="B97" s="85"/>
      <c r="C97" s="90"/>
      <c r="D97" s="25"/>
      <c r="E97" s="22"/>
      <c r="F97" s="22"/>
    </row>
    <row r="98" spans="1:6" s="17" customFormat="1" ht="12.75">
      <c r="A98" s="17" t="s">
        <v>124</v>
      </c>
      <c r="B98" s="85"/>
      <c r="C98" s="90"/>
      <c r="D98" s="25"/>
      <c r="E98" s="22"/>
      <c r="F98" s="22"/>
    </row>
    <row r="99" spans="1:6" s="17" customFormat="1" ht="12.75">
      <c r="A99" s="17" t="s">
        <v>145</v>
      </c>
      <c r="B99" s="85"/>
      <c r="C99" s="90"/>
      <c r="D99" s="25"/>
      <c r="E99" s="22"/>
      <c r="F99" s="22"/>
    </row>
    <row r="100" spans="1:6" s="7" customFormat="1" ht="12.75">
      <c r="A100" s="7" t="s">
        <v>144</v>
      </c>
      <c r="B100" s="80"/>
      <c r="C100" s="98">
        <f>SUM(C97:C99)</f>
        <v>0</v>
      </c>
      <c r="D100" s="23"/>
      <c r="E100" s="9"/>
      <c r="F100" s="9"/>
    </row>
    <row r="101" ht="12.75">
      <c r="A101" s="1"/>
    </row>
    <row r="102" spans="1:5" ht="12.75">
      <c r="A102" s="12" t="s">
        <v>6</v>
      </c>
      <c r="E102" s="2">
        <v>145000</v>
      </c>
    </row>
    <row r="103" spans="1:5" ht="12.75">
      <c r="A103" s="17" t="s">
        <v>86</v>
      </c>
      <c r="E103" s="2"/>
    </row>
    <row r="104" spans="1:4" ht="11.25" customHeight="1">
      <c r="A104" s="17" t="s">
        <v>87</v>
      </c>
      <c r="D104" s="25">
        <v>3000</v>
      </c>
    </row>
    <row r="105" spans="1:3" ht="12.75">
      <c r="A105" s="10" t="s">
        <v>7</v>
      </c>
      <c r="B105" s="79">
        <v>102000</v>
      </c>
      <c r="C105" s="100">
        <v>102000</v>
      </c>
    </row>
    <row r="106" spans="1:4" s="12" customFormat="1" ht="12.75">
      <c r="A106" s="17" t="s">
        <v>71</v>
      </c>
      <c r="B106" s="86"/>
      <c r="C106" s="100">
        <v>10000</v>
      </c>
      <c r="D106" s="25"/>
    </row>
    <row r="107" spans="1:4" ht="12.75">
      <c r="A107" s="12" t="s">
        <v>8</v>
      </c>
      <c r="B107" s="79">
        <f>SUM(B105:B106)</f>
        <v>102000</v>
      </c>
      <c r="C107" s="96">
        <f>SUM(C105:C106)</f>
        <v>112000</v>
      </c>
      <c r="D107" s="23">
        <f>SUM(D105:D106)</f>
        <v>0</v>
      </c>
    </row>
    <row r="108" spans="1:3" ht="12.75">
      <c r="A108" s="12"/>
      <c r="C108" s="96"/>
    </row>
    <row r="109" spans="1:5" ht="12.75">
      <c r="A109" s="7" t="s">
        <v>72</v>
      </c>
      <c r="C109" s="96"/>
      <c r="E109" s="2">
        <v>125000</v>
      </c>
    </row>
    <row r="110" spans="1:5" ht="12.75">
      <c r="A110" s="17" t="s">
        <v>148</v>
      </c>
      <c r="C110" s="90"/>
      <c r="E110" s="2"/>
    </row>
    <row r="111" spans="1:3" ht="12.75">
      <c r="A111" s="17" t="s">
        <v>141</v>
      </c>
      <c r="C111" s="90"/>
    </row>
    <row r="112" spans="1:5" ht="12.75">
      <c r="A112" s="17" t="s">
        <v>85</v>
      </c>
      <c r="C112" s="90"/>
      <c r="E112" t="s">
        <v>142</v>
      </c>
    </row>
    <row r="113" spans="1:3" ht="12.75">
      <c r="A113" s="17" t="s">
        <v>55</v>
      </c>
      <c r="C113" s="90"/>
    </row>
    <row r="114" spans="1:4" s="7" customFormat="1" ht="12.75">
      <c r="A114" s="7" t="s">
        <v>56</v>
      </c>
      <c r="B114" s="80"/>
      <c r="C114" s="98">
        <f>SUM(C110:C113)</f>
        <v>0</v>
      </c>
      <c r="D114" s="23"/>
    </row>
    <row r="115" spans="2:4" s="7" customFormat="1" ht="12.75">
      <c r="B115" s="80"/>
      <c r="C115" s="98"/>
      <c r="D115" s="23"/>
    </row>
    <row r="116" spans="1:5" ht="12.75">
      <c r="A116" s="7" t="s">
        <v>146</v>
      </c>
      <c r="C116" s="96"/>
      <c r="E116" s="2">
        <v>200000</v>
      </c>
    </row>
    <row r="117" spans="1:5" ht="12.75">
      <c r="A117" s="17" t="s">
        <v>149</v>
      </c>
      <c r="C117" s="90"/>
      <c r="E117" s="2"/>
    </row>
    <row r="118" spans="1:3" ht="12.75">
      <c r="A118" s="17" t="s">
        <v>493</v>
      </c>
      <c r="C118" s="90"/>
    </row>
    <row r="119" spans="1:3" ht="12.75">
      <c r="A119" s="17" t="s">
        <v>490</v>
      </c>
      <c r="B119" s="79">
        <v>3000</v>
      </c>
      <c r="C119" s="90">
        <v>3000</v>
      </c>
    </row>
    <row r="120" spans="1:3" ht="12.75">
      <c r="A120" s="17" t="s">
        <v>491</v>
      </c>
      <c r="C120" s="90">
        <v>1800</v>
      </c>
    </row>
    <row r="121" spans="1:3" ht="12.75">
      <c r="A121" s="17" t="s">
        <v>485</v>
      </c>
      <c r="C121" s="90">
        <v>2000</v>
      </c>
    </row>
    <row r="122" spans="1:3" ht="12.75">
      <c r="A122" s="17" t="s">
        <v>453</v>
      </c>
      <c r="B122" s="79">
        <v>200</v>
      </c>
      <c r="C122" s="90">
        <v>200</v>
      </c>
    </row>
    <row r="123" spans="1:3" ht="12.75">
      <c r="A123" s="17" t="s">
        <v>492</v>
      </c>
      <c r="B123" s="79">
        <v>16250</v>
      </c>
      <c r="C123" s="90">
        <v>16250</v>
      </c>
    </row>
    <row r="124" spans="1:4" s="7" customFormat="1" ht="12.75">
      <c r="A124" s="7" t="s">
        <v>147</v>
      </c>
      <c r="B124" s="80">
        <f>SUM(B119:B123)</f>
        <v>19450</v>
      </c>
      <c r="C124" s="98">
        <f>SUM(C117:C123)</f>
        <v>23250</v>
      </c>
      <c r="D124" s="23"/>
    </row>
    <row r="125" spans="2:4" s="7" customFormat="1" ht="12.75">
      <c r="B125" s="80"/>
      <c r="C125" s="98"/>
      <c r="D125" s="23"/>
    </row>
    <row r="126" spans="1:5" ht="12.75">
      <c r="A126" s="12" t="s">
        <v>4</v>
      </c>
      <c r="E126" s="18" t="s">
        <v>43</v>
      </c>
    </row>
    <row r="127" ht="12.75">
      <c r="A127" s="17" t="s">
        <v>88</v>
      </c>
    </row>
    <row r="128" spans="1:5" ht="12.75">
      <c r="A128" s="18" t="s">
        <v>42</v>
      </c>
      <c r="D128" s="25">
        <v>6000</v>
      </c>
      <c r="E128" t="s">
        <v>96</v>
      </c>
    </row>
    <row r="129" spans="1:5" ht="12.75">
      <c r="A129" s="17" t="s">
        <v>54</v>
      </c>
      <c r="D129" s="25">
        <v>10000</v>
      </c>
      <c r="E129" t="s">
        <v>73</v>
      </c>
    </row>
    <row r="130" spans="1:6" ht="12.75">
      <c r="A130" s="12" t="s">
        <v>5</v>
      </c>
      <c r="C130" s="96">
        <f>SUM(C128:C129)</f>
        <v>0</v>
      </c>
      <c r="D130" s="23">
        <f>SUM(D128:D129)</f>
        <v>16000</v>
      </c>
      <c r="E130" s="13"/>
      <c r="F130" s="13"/>
    </row>
    <row r="131" spans="1:6" ht="12.75">
      <c r="A131" s="12"/>
      <c r="C131" s="96"/>
      <c r="D131" s="23"/>
      <c r="E131" s="13"/>
      <c r="F131" s="13"/>
    </row>
    <row r="132" spans="1:6" ht="12.75">
      <c r="A132" s="7" t="s">
        <v>128</v>
      </c>
      <c r="C132" s="96"/>
      <c r="D132" s="23"/>
      <c r="E132" s="13"/>
      <c r="F132" s="13"/>
    </row>
    <row r="133" spans="1:6" s="17" customFormat="1" ht="12.75">
      <c r="A133" s="17" t="s">
        <v>131</v>
      </c>
      <c r="B133" s="85"/>
      <c r="C133" s="90"/>
      <c r="D133" s="25"/>
      <c r="E133" s="22" t="s">
        <v>150</v>
      </c>
      <c r="F133" s="22"/>
    </row>
    <row r="134" spans="1:6" s="17" customFormat="1" ht="12.75">
      <c r="A134" s="17" t="s">
        <v>135</v>
      </c>
      <c r="B134" s="85"/>
      <c r="C134" s="90"/>
      <c r="D134" s="25"/>
      <c r="E134" s="22"/>
      <c r="F134" s="22"/>
    </row>
    <row r="135" spans="1:6" s="17" customFormat="1" ht="12.75">
      <c r="A135" s="17" t="s">
        <v>450</v>
      </c>
      <c r="B135" s="85">
        <v>2250</v>
      </c>
      <c r="C135" s="90"/>
      <c r="D135" s="25"/>
      <c r="E135" s="22" t="s">
        <v>451</v>
      </c>
      <c r="F135" s="22"/>
    </row>
    <row r="136" spans="1:6" s="17" customFormat="1" ht="12.75">
      <c r="A136" s="17" t="s">
        <v>136</v>
      </c>
      <c r="B136" s="85"/>
      <c r="C136" s="90"/>
      <c r="D136" s="25"/>
      <c r="E136" s="22"/>
      <c r="F136" s="22"/>
    </row>
    <row r="137" spans="1:6" ht="12.75">
      <c r="A137" s="7" t="s">
        <v>134</v>
      </c>
      <c r="C137" s="96">
        <f>SUM(C133:C136)</f>
        <v>0</v>
      </c>
      <c r="D137" s="23"/>
      <c r="E137" s="13"/>
      <c r="F137" s="13"/>
    </row>
    <row r="138" ht="12.75">
      <c r="A138" s="4"/>
    </row>
    <row r="139" spans="1:6" ht="12.75">
      <c r="A139" s="1" t="s">
        <v>19</v>
      </c>
      <c r="B139" s="96">
        <f>SUM(B80+B88+B94+B100+B107+B114+B124+B130+B137)</f>
        <v>155207</v>
      </c>
      <c r="C139" s="96">
        <f>SUM(C80+C88+C94+C107+C114+C130+C137)</f>
        <v>131250</v>
      </c>
      <c r="D139" s="23">
        <f>SUM(D80+D88+D107+D114+D130)</f>
        <v>25000</v>
      </c>
      <c r="E139" s="13"/>
      <c r="F139" s="13"/>
    </row>
    <row r="140" spans="1:6" ht="12.75">
      <c r="A140" s="1"/>
      <c r="C140" s="96"/>
      <c r="D140" s="23"/>
      <c r="E140" s="13"/>
      <c r="F140" s="13"/>
    </row>
    <row r="141" spans="1:6" ht="12.75">
      <c r="A141" s="17" t="s">
        <v>428</v>
      </c>
      <c r="B141" s="79">
        <v>0</v>
      </c>
      <c r="C141" s="96">
        <v>0</v>
      </c>
      <c r="D141" s="25">
        <v>2500</v>
      </c>
      <c r="E141" s="22"/>
      <c r="F141" s="13"/>
    </row>
    <row r="142" ht="12.75">
      <c r="A142" s="1"/>
    </row>
    <row r="143" spans="1:6" ht="12.75">
      <c r="A143" s="3" t="s">
        <v>29</v>
      </c>
      <c r="B143" s="101">
        <f>SUM(B74+B139)</f>
        <v>249374.5</v>
      </c>
      <c r="C143" s="101">
        <f>SUM(C74+C139)</f>
        <v>230386.5</v>
      </c>
      <c r="D143" s="23">
        <f>SUM(D74+D139+D141)</f>
        <v>125272</v>
      </c>
      <c r="E143" s="15"/>
      <c r="F143" s="15"/>
    </row>
    <row r="144" spans="1:3" ht="12.75">
      <c r="A144" s="3"/>
      <c r="C144" s="101"/>
    </row>
    <row r="146" spans="1:6" ht="12.75">
      <c r="A146" s="7" t="s">
        <v>22</v>
      </c>
      <c r="B146" s="92">
        <f>B45-B143</f>
        <v>23960.5</v>
      </c>
      <c r="C146" s="92">
        <f>C45-C143</f>
        <v>-7851.5</v>
      </c>
      <c r="D146" s="25">
        <f>D45-D143</f>
        <v>-18300</v>
      </c>
      <c r="E146" s="14"/>
      <c r="F146" s="14"/>
    </row>
    <row r="148" spans="1:5" ht="12.75">
      <c r="A148" t="s">
        <v>151</v>
      </c>
      <c r="B148" s="79">
        <v>0</v>
      </c>
      <c r="C148" s="87">
        <v>0</v>
      </c>
      <c r="D148" s="25">
        <v>18300</v>
      </c>
      <c r="E148" t="s">
        <v>83</v>
      </c>
    </row>
    <row r="149" spans="1:5" ht="12.75">
      <c r="A149" t="s">
        <v>152</v>
      </c>
      <c r="E149" t="s">
        <v>153</v>
      </c>
    </row>
    <row r="151" spans="1:4" ht="12.75">
      <c r="A151" s="7" t="s">
        <v>76</v>
      </c>
      <c r="C151" s="102">
        <f>C146+C148-C149</f>
        <v>-7851.5</v>
      </c>
      <c r="D151" s="25">
        <v>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8">
      <selection activeCell="A65" sqref="A65"/>
    </sheetView>
  </sheetViews>
  <sheetFormatPr defaultColWidth="11.00390625" defaultRowHeight="12.75"/>
  <cols>
    <col min="1" max="1" width="46.625" style="0" customWidth="1"/>
    <col min="2" max="2" width="11.00390625" style="2" customWidth="1"/>
  </cols>
  <sheetData>
    <row r="1" ht="12.75">
      <c r="A1" s="7" t="s">
        <v>100</v>
      </c>
    </row>
    <row r="2" ht="12.75">
      <c r="A2" s="17"/>
    </row>
    <row r="3" ht="12.75">
      <c r="A3" s="21" t="s">
        <v>77</v>
      </c>
    </row>
    <row r="4" ht="12.75">
      <c r="B4" s="16"/>
    </row>
    <row r="5" ht="12.75">
      <c r="A5" t="s">
        <v>295</v>
      </c>
    </row>
    <row r="6" spans="1:5" ht="12.75">
      <c r="A6" s="3" t="s">
        <v>101</v>
      </c>
      <c r="B6" s="9" t="s">
        <v>23</v>
      </c>
      <c r="C6" s="7" t="s">
        <v>102</v>
      </c>
      <c r="D6" s="7" t="s">
        <v>103</v>
      </c>
      <c r="E6" s="7"/>
    </row>
    <row r="7" spans="1:5" ht="12.75">
      <c r="A7" s="3"/>
      <c r="B7" s="9"/>
      <c r="C7" s="7"/>
      <c r="D7" s="7"/>
      <c r="E7" s="7"/>
    </row>
    <row r="8" spans="1:6" ht="12.75">
      <c r="A8" s="12" t="s">
        <v>32</v>
      </c>
      <c r="C8" s="2">
        <v>18000</v>
      </c>
      <c r="D8" t="s">
        <v>104</v>
      </c>
      <c r="F8" s="28"/>
    </row>
    <row r="9" spans="1:4" ht="12.75">
      <c r="A9" s="12"/>
      <c r="C9" s="2">
        <v>1000</v>
      </c>
      <c r="D9" t="s">
        <v>105</v>
      </c>
    </row>
    <row r="10" spans="1:4" ht="12.75">
      <c r="A10" s="12"/>
      <c r="C10" s="2">
        <v>1000</v>
      </c>
      <c r="D10" t="s">
        <v>300</v>
      </c>
    </row>
    <row r="11" spans="1:4" ht="12.75">
      <c r="A11" s="12"/>
      <c r="C11" s="2">
        <v>2500</v>
      </c>
      <c r="D11" t="s">
        <v>294</v>
      </c>
    </row>
    <row r="12" spans="1:3" ht="12.75">
      <c r="A12" s="17" t="s">
        <v>304</v>
      </c>
      <c r="B12" s="2">
        <v>70</v>
      </c>
      <c r="C12" s="2"/>
    </row>
    <row r="13" spans="1:3" ht="12.75">
      <c r="A13" s="17" t="s">
        <v>301</v>
      </c>
      <c r="B13" s="29">
        <f>67644*0.05</f>
        <v>3382.2000000000003</v>
      </c>
      <c r="C13" s="2"/>
    </row>
    <row r="14" spans="1:3" ht="12.75">
      <c r="A14" s="17" t="s">
        <v>302</v>
      </c>
      <c r="B14" s="29">
        <v>7500</v>
      </c>
      <c r="C14" s="2"/>
    </row>
    <row r="15" spans="1:2" ht="12.75">
      <c r="A15" s="10" t="s">
        <v>34</v>
      </c>
      <c r="B15" s="2">
        <v>11000</v>
      </c>
    </row>
    <row r="16" spans="1:3" ht="12.75">
      <c r="A16" s="17" t="s">
        <v>106</v>
      </c>
      <c r="B16" s="2">
        <v>2500</v>
      </c>
      <c r="C16" s="18"/>
    </row>
    <row r="17" spans="1:3" ht="12.75">
      <c r="A17" s="12" t="s">
        <v>33</v>
      </c>
      <c r="B17" s="13">
        <f>SUM(B12:B16)</f>
        <v>24452.2</v>
      </c>
      <c r="C17" s="9">
        <f>SUM(C8:C11)</f>
        <v>22500</v>
      </c>
    </row>
    <row r="18" spans="1:3" ht="12.75">
      <c r="A18" s="12"/>
      <c r="B18" s="13"/>
      <c r="C18" s="2"/>
    </row>
    <row r="19" spans="1:4" ht="12.75">
      <c r="A19" s="12" t="s">
        <v>3</v>
      </c>
      <c r="C19" s="26">
        <v>30000</v>
      </c>
      <c r="D19" t="s">
        <v>296</v>
      </c>
    </row>
    <row r="20" spans="1:2" ht="12.75">
      <c r="A20" s="17" t="s">
        <v>107</v>
      </c>
      <c r="B20" s="2">
        <f>SUM(C19:C19)*0.07</f>
        <v>2100</v>
      </c>
    </row>
    <row r="21" spans="1:6" ht="12.75">
      <c r="A21" s="17" t="s">
        <v>305</v>
      </c>
      <c r="B21" s="29">
        <v>15000</v>
      </c>
      <c r="C21" s="2"/>
      <c r="F21" s="28"/>
    </row>
    <row r="22" spans="1:2" ht="12.75">
      <c r="A22" s="10" t="s">
        <v>2</v>
      </c>
      <c r="B22" s="2">
        <v>8250</v>
      </c>
    </row>
    <row r="23" spans="1:4" ht="12.75">
      <c r="A23" s="1" t="s">
        <v>16</v>
      </c>
      <c r="B23" s="6">
        <f>SUM(B20:B22)</f>
        <v>25350</v>
      </c>
      <c r="C23" s="6">
        <f>SUM(C19:C19)</f>
        <v>30000</v>
      </c>
      <c r="D23" s="6"/>
    </row>
    <row r="24" ht="12.75">
      <c r="A24" s="1"/>
    </row>
    <row r="25" spans="1:6" ht="12.75">
      <c r="A25" s="12" t="s">
        <v>6</v>
      </c>
      <c r="C25" s="2">
        <v>22750</v>
      </c>
      <c r="D25" t="s">
        <v>108</v>
      </c>
      <c r="F25" s="28"/>
    </row>
    <row r="26" spans="1:4" ht="12.75">
      <c r="A26" s="12"/>
      <c r="C26" s="2">
        <v>25000</v>
      </c>
      <c r="D26" t="s">
        <v>109</v>
      </c>
    </row>
    <row r="27" spans="1:4" ht="12.75">
      <c r="A27" s="12"/>
      <c r="C27" s="2">
        <v>25000</v>
      </c>
      <c r="D27" t="s">
        <v>110</v>
      </c>
    </row>
    <row r="28" spans="1:4" ht="12.75">
      <c r="A28" s="12"/>
      <c r="C28" s="2">
        <v>69000</v>
      </c>
      <c r="D28" t="s">
        <v>111</v>
      </c>
    </row>
    <row r="29" spans="1:4" ht="12.75">
      <c r="A29" s="17" t="s">
        <v>107</v>
      </c>
      <c r="B29" s="2">
        <v>9923</v>
      </c>
      <c r="C29" s="2"/>
      <c r="D29" t="s">
        <v>297</v>
      </c>
    </row>
    <row r="30" spans="1:6" ht="12.75">
      <c r="A30" s="17" t="s">
        <v>303</v>
      </c>
      <c r="B30" s="29">
        <v>20000</v>
      </c>
      <c r="D30" t="s">
        <v>298</v>
      </c>
      <c r="F30" s="28"/>
    </row>
    <row r="31" spans="1:2" ht="12.75">
      <c r="A31" s="10" t="s">
        <v>7</v>
      </c>
      <c r="B31" s="14">
        <v>102000</v>
      </c>
    </row>
    <row r="32" spans="1:2" s="12" customFormat="1" ht="12.75">
      <c r="A32" s="17" t="s">
        <v>71</v>
      </c>
      <c r="B32" s="14">
        <v>10000</v>
      </c>
    </row>
    <row r="33" spans="1:3" ht="12.75">
      <c r="A33" s="12" t="s">
        <v>8</v>
      </c>
      <c r="B33" s="13">
        <f>SUM(B29:B32)</f>
        <v>141923</v>
      </c>
      <c r="C33" s="9">
        <f>SUM(C25:C28)</f>
        <v>141750</v>
      </c>
    </row>
    <row r="34" spans="1:2" ht="12.75">
      <c r="A34" s="12"/>
      <c r="B34" s="13"/>
    </row>
    <row r="35" ht="12" customHeight="1">
      <c r="A35" s="10"/>
    </row>
    <row r="36" ht="12" customHeight="1">
      <c r="A36" s="4"/>
    </row>
    <row r="37" spans="1:8" ht="12" customHeight="1">
      <c r="A37" s="7" t="s">
        <v>125</v>
      </c>
      <c r="B37" s="13">
        <f>SUM(B17+B23+B33)</f>
        <v>191725.2</v>
      </c>
      <c r="C37" s="13">
        <f>SUM(C17+C23+C33)</f>
        <v>194250</v>
      </c>
      <c r="D37" s="30" t="s">
        <v>120</v>
      </c>
      <c r="F37" s="29">
        <f>B13+B14+B21+B30</f>
        <v>45882.2</v>
      </c>
      <c r="G37" s="53">
        <f>F37/67644</f>
        <v>0.6782892791674058</v>
      </c>
      <c r="H37" t="s">
        <v>299</v>
      </c>
    </row>
    <row r="38" spans="1:4" ht="12.75">
      <c r="A38" s="1"/>
      <c r="B38" s="13"/>
      <c r="C38" s="13"/>
      <c r="D38" s="13"/>
    </row>
    <row r="39" spans="1:4" ht="12.75">
      <c r="A39" s="1"/>
      <c r="B39" s="13"/>
      <c r="C39" s="13"/>
      <c r="D39" s="13"/>
    </row>
    <row r="40" spans="1:4" ht="12.75">
      <c r="A40" s="1"/>
      <c r="B40" s="13"/>
      <c r="C40" s="13"/>
      <c r="D40" s="13"/>
    </row>
    <row r="41" spans="1:2" ht="12.75">
      <c r="A41" s="7" t="s">
        <v>113</v>
      </c>
      <c r="B41" s="13"/>
    </row>
    <row r="42" spans="1:4" ht="12.75">
      <c r="A42" s="7"/>
      <c r="B42" s="13"/>
      <c r="C42" s="22">
        <v>30000</v>
      </c>
      <c r="D42" s="17" t="s">
        <v>115</v>
      </c>
    </row>
    <row r="43" spans="1:4" ht="12.75">
      <c r="A43" s="17" t="s">
        <v>123</v>
      </c>
      <c r="B43" s="2">
        <f>SUM(C42:C43)*0.07</f>
        <v>2100</v>
      </c>
      <c r="C43" s="26"/>
      <c r="D43" s="17"/>
    </row>
    <row r="44" spans="1:4" ht="12.75">
      <c r="A44" s="7" t="s">
        <v>117</v>
      </c>
      <c r="B44" s="13"/>
      <c r="C44" s="22"/>
      <c r="D44" s="17"/>
    </row>
    <row r="45" spans="1:4" ht="12.75">
      <c r="A45" s="17" t="s">
        <v>118</v>
      </c>
      <c r="B45" s="13"/>
      <c r="C45" s="22"/>
      <c r="D45" s="17" t="s">
        <v>119</v>
      </c>
    </row>
    <row r="46" spans="1:4" ht="12.75">
      <c r="A46" s="17" t="s">
        <v>122</v>
      </c>
      <c r="B46" s="29">
        <f>67644-F37</f>
        <v>21761.800000000003</v>
      </c>
      <c r="C46" s="22"/>
      <c r="D46" s="17"/>
    </row>
    <row r="47" spans="1:2" s="19" customFormat="1" ht="12.75">
      <c r="A47" s="7" t="s">
        <v>40</v>
      </c>
      <c r="B47" s="20"/>
    </row>
    <row r="48" spans="1:4" s="19" customFormat="1" ht="12.75">
      <c r="A48" s="17" t="s">
        <v>114</v>
      </c>
      <c r="B48" s="22">
        <v>0</v>
      </c>
      <c r="D48" s="17"/>
    </row>
    <row r="49" spans="1:2" ht="12.75">
      <c r="A49" s="17" t="s">
        <v>81</v>
      </c>
      <c r="B49" s="2">
        <v>2500</v>
      </c>
    </row>
    <row r="50" ht="12.75">
      <c r="A50" s="1" t="s">
        <v>26</v>
      </c>
    </row>
    <row r="51" spans="1:2" ht="12.75">
      <c r="A51" t="s">
        <v>15</v>
      </c>
      <c r="B51" s="2">
        <v>300</v>
      </c>
    </row>
    <row r="52" spans="1:4" ht="12.75">
      <c r="A52" t="s">
        <v>14</v>
      </c>
      <c r="B52" s="2">
        <v>0</v>
      </c>
      <c r="D52" s="17"/>
    </row>
    <row r="53" spans="1:3" ht="12.75">
      <c r="A53" s="17" t="s">
        <v>74</v>
      </c>
      <c r="B53" s="2">
        <v>1250</v>
      </c>
      <c r="C53" s="17"/>
    </row>
    <row r="54" spans="1:3" ht="12.75">
      <c r="A54" s="18" t="s">
        <v>45</v>
      </c>
      <c r="B54" s="2">
        <v>750</v>
      </c>
      <c r="C54" s="17"/>
    </row>
    <row r="55" spans="1:3" ht="12.75">
      <c r="A55" t="s">
        <v>46</v>
      </c>
      <c r="B55" s="2">
        <v>10000</v>
      </c>
      <c r="C55" s="17"/>
    </row>
    <row r="56" spans="1:4" ht="12.75">
      <c r="A56" s="1" t="s">
        <v>28</v>
      </c>
      <c r="B56" s="6">
        <f>SUM(B43:B55)</f>
        <v>38661.8</v>
      </c>
      <c r="C56" s="6">
        <f>SUM(C42:C43)</f>
        <v>30000</v>
      </c>
      <c r="D56" s="6"/>
    </row>
    <row r="57" ht="12.75">
      <c r="A57" s="1"/>
    </row>
    <row r="58" spans="1:4" ht="12.75">
      <c r="A58" s="3" t="s">
        <v>116</v>
      </c>
      <c r="B58" s="15">
        <f>SUM(B56+B37)</f>
        <v>230387</v>
      </c>
      <c r="C58" s="15">
        <f>SUM(C56+C37)</f>
        <v>224250</v>
      </c>
      <c r="D58" s="15"/>
    </row>
    <row r="59" spans="1:4" ht="12.75">
      <c r="A59" s="3"/>
      <c r="B59" s="15"/>
      <c r="C59" s="15"/>
      <c r="D59" s="15"/>
    </row>
    <row r="60" spans="1:4" ht="12.75">
      <c r="A60" s="7" t="s">
        <v>22</v>
      </c>
      <c r="B60" s="34">
        <f>C58-B58</f>
        <v>-6137</v>
      </c>
      <c r="C60" s="14"/>
      <c r="D60" s="22"/>
    </row>
    <row r="62" spans="1:2" ht="12.75">
      <c r="A62" s="7" t="s">
        <v>126</v>
      </c>
      <c r="B62" s="2">
        <v>0</v>
      </c>
    </row>
    <row r="64" ht="12.75">
      <c r="A64" t="s">
        <v>306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0"/>
  <sheetViews>
    <sheetView workbookViewId="0" topLeftCell="A1">
      <selection activeCell="E25" sqref="E25"/>
    </sheetView>
  </sheetViews>
  <sheetFormatPr defaultColWidth="11.00390625" defaultRowHeight="12.75"/>
  <cols>
    <col min="1" max="1" width="22.00390625" style="0" bestFit="1" customWidth="1"/>
    <col min="2" max="2" width="10.75390625" style="62" customWidth="1"/>
    <col min="3" max="3" width="10.75390625" style="65" customWidth="1"/>
  </cols>
  <sheetData>
    <row r="2" ht="12.75">
      <c r="A2" t="s">
        <v>269</v>
      </c>
    </row>
    <row r="5" spans="1:3" s="7" customFormat="1" ht="12.75">
      <c r="A5" s="7" t="s">
        <v>102</v>
      </c>
      <c r="B5" s="63" t="s">
        <v>271</v>
      </c>
      <c r="C5" s="66" t="s">
        <v>322</v>
      </c>
    </row>
    <row r="7" spans="1:3" ht="12.75">
      <c r="A7" t="s">
        <v>270</v>
      </c>
      <c r="B7" s="62">
        <v>2500</v>
      </c>
      <c r="C7" s="65">
        <v>785</v>
      </c>
    </row>
    <row r="8" spans="1:3" ht="12.75">
      <c r="A8" t="s">
        <v>44</v>
      </c>
      <c r="B8" s="62">
        <v>0</v>
      </c>
      <c r="C8" s="65">
        <v>0</v>
      </c>
    </row>
    <row r="9" spans="1:3" ht="12.75">
      <c r="A9" t="s">
        <v>291</v>
      </c>
      <c r="B9" s="62">
        <v>1000</v>
      </c>
      <c r="C9" s="65">
        <v>1000</v>
      </c>
    </row>
    <row r="11" spans="1:3" s="7" customFormat="1" ht="12.75">
      <c r="A11" s="7" t="s">
        <v>181</v>
      </c>
      <c r="B11" s="63">
        <f>SUM(B7:B9)</f>
        <v>3500</v>
      </c>
      <c r="C11" s="67">
        <f>SUM(C7:C9)</f>
        <v>1785</v>
      </c>
    </row>
    <row r="13" spans="1:3" s="7" customFormat="1" ht="12.75">
      <c r="A13" s="7" t="s">
        <v>272</v>
      </c>
      <c r="B13" s="63" t="s">
        <v>271</v>
      </c>
      <c r="C13" s="66" t="s">
        <v>322</v>
      </c>
    </row>
    <row r="15" spans="1:4" ht="12.75">
      <c r="A15" s="52" t="s">
        <v>287</v>
      </c>
      <c r="B15" s="62">
        <v>0</v>
      </c>
      <c r="C15" s="65">
        <v>0</v>
      </c>
      <c r="D15" t="s">
        <v>292</v>
      </c>
    </row>
    <row r="16" spans="1:4" s="17" customFormat="1" ht="12.75">
      <c r="A16" s="17" t="s">
        <v>282</v>
      </c>
      <c r="B16" s="64">
        <v>0</v>
      </c>
      <c r="C16" s="68">
        <v>0</v>
      </c>
      <c r="D16" s="17" t="s">
        <v>309</v>
      </c>
    </row>
    <row r="17" spans="1:4" s="17" customFormat="1" ht="12.75">
      <c r="A17" s="17" t="s">
        <v>283</v>
      </c>
      <c r="B17" s="64">
        <v>0</v>
      </c>
      <c r="C17" s="68">
        <v>0</v>
      </c>
      <c r="D17" s="17" t="s">
        <v>284</v>
      </c>
    </row>
    <row r="18" spans="1:3" s="17" customFormat="1" ht="12.75">
      <c r="A18" s="52" t="s">
        <v>289</v>
      </c>
      <c r="B18" s="64">
        <f>SUM(B15:B17)</f>
        <v>0</v>
      </c>
      <c r="C18" s="68">
        <f>SUM(C15:C17)</f>
        <v>0</v>
      </c>
    </row>
    <row r="20" ht="12.75">
      <c r="A20" s="52" t="s">
        <v>276</v>
      </c>
    </row>
    <row r="21" spans="1:3" ht="12.75">
      <c r="A21" t="s">
        <v>277</v>
      </c>
      <c r="B21" s="62">
        <v>1500</v>
      </c>
      <c r="C21" s="68">
        <v>1020</v>
      </c>
    </row>
    <row r="22" spans="1:3" ht="12.75">
      <c r="A22" t="s">
        <v>278</v>
      </c>
      <c r="B22" s="62">
        <v>3187</v>
      </c>
      <c r="C22" s="65">
        <v>2700</v>
      </c>
    </row>
    <row r="23" spans="1:3" ht="12.75">
      <c r="A23" t="s">
        <v>279</v>
      </c>
      <c r="B23" s="62">
        <v>3187</v>
      </c>
      <c r="C23" s="65">
        <v>1550</v>
      </c>
    </row>
    <row r="24" spans="1:3" ht="12.75">
      <c r="A24" t="s">
        <v>310</v>
      </c>
      <c r="C24" s="65">
        <v>1159.4</v>
      </c>
    </row>
    <row r="25" spans="1:4" ht="12.75">
      <c r="A25" t="s">
        <v>280</v>
      </c>
      <c r="B25" s="62">
        <v>0</v>
      </c>
      <c r="C25" s="65">
        <v>0</v>
      </c>
      <c r="D25" t="s">
        <v>311</v>
      </c>
    </row>
    <row r="26" spans="1:4" ht="12.75">
      <c r="A26" t="s">
        <v>281</v>
      </c>
      <c r="B26" s="62">
        <v>0</v>
      </c>
      <c r="C26" s="65">
        <v>0</v>
      </c>
      <c r="D26" t="s">
        <v>312</v>
      </c>
    </row>
    <row r="27" spans="1:4" ht="12.75">
      <c r="A27" t="s">
        <v>285</v>
      </c>
      <c r="B27" s="62">
        <v>400</v>
      </c>
      <c r="C27" s="65">
        <v>300</v>
      </c>
      <c r="D27" t="s">
        <v>317</v>
      </c>
    </row>
    <row r="28" spans="1:3" ht="12.75">
      <c r="A28" s="52" t="s">
        <v>289</v>
      </c>
      <c r="B28" s="62">
        <f>SUM(B21:B27)</f>
        <v>8274</v>
      </c>
      <c r="C28" s="69">
        <f>SUM(C21:C27)</f>
        <v>6729.4</v>
      </c>
    </row>
    <row r="30" ht="12.75">
      <c r="A30" s="52" t="s">
        <v>318</v>
      </c>
    </row>
    <row r="31" spans="1:4" ht="12.75">
      <c r="A31" s="17" t="s">
        <v>307</v>
      </c>
      <c r="B31" s="62">
        <v>0</v>
      </c>
      <c r="C31" s="65">
        <v>400</v>
      </c>
      <c r="D31" t="s">
        <v>316</v>
      </c>
    </row>
    <row r="32" spans="1:4" ht="12.75">
      <c r="A32" s="52" t="s">
        <v>319</v>
      </c>
      <c r="C32" s="68">
        <v>109</v>
      </c>
      <c r="D32" t="s">
        <v>316</v>
      </c>
    </row>
    <row r="33" spans="1:4" ht="12.75">
      <c r="A33" t="s">
        <v>313</v>
      </c>
      <c r="B33" s="62">
        <v>800</v>
      </c>
      <c r="C33" s="68">
        <v>794</v>
      </c>
      <c r="D33" t="s">
        <v>343</v>
      </c>
    </row>
    <row r="34" spans="1:4" ht="12.75">
      <c r="A34" t="s">
        <v>314</v>
      </c>
      <c r="B34" s="62">
        <v>200</v>
      </c>
      <c r="C34" s="65">
        <v>448.29</v>
      </c>
      <c r="D34" t="s">
        <v>316</v>
      </c>
    </row>
    <row r="35" spans="1:4" ht="12.75">
      <c r="A35" t="s">
        <v>286</v>
      </c>
      <c r="B35" s="62">
        <v>1200</v>
      </c>
      <c r="C35" s="68">
        <v>1264.6</v>
      </c>
      <c r="D35" t="s">
        <v>342</v>
      </c>
    </row>
    <row r="36" spans="1:3" ht="12.75">
      <c r="A36" s="52" t="s">
        <v>289</v>
      </c>
      <c r="B36" s="62">
        <f>SUM(B31:B35)</f>
        <v>2200</v>
      </c>
      <c r="C36" s="69">
        <f>SUM(C31:C35)</f>
        <v>3015.89</v>
      </c>
    </row>
    <row r="38" ht="12.75">
      <c r="A38" s="52" t="s">
        <v>288</v>
      </c>
    </row>
    <row r="39" spans="1:4" ht="12.75">
      <c r="A39" t="s">
        <v>274</v>
      </c>
      <c r="B39" s="62">
        <v>250</v>
      </c>
      <c r="C39" s="68">
        <v>376.36</v>
      </c>
      <c r="D39" t="s">
        <v>321</v>
      </c>
    </row>
    <row r="40" spans="1:4" ht="12.75">
      <c r="A40" t="s">
        <v>275</v>
      </c>
      <c r="B40" s="62">
        <v>100</v>
      </c>
      <c r="C40" s="68">
        <v>85</v>
      </c>
      <c r="D40" t="s">
        <v>320</v>
      </c>
    </row>
    <row r="41" spans="1:4" ht="12.75">
      <c r="A41" t="s">
        <v>273</v>
      </c>
      <c r="B41" s="62">
        <v>150</v>
      </c>
      <c r="C41" s="68">
        <v>900</v>
      </c>
      <c r="D41" t="s">
        <v>315</v>
      </c>
    </row>
    <row r="42" spans="1:3" ht="12.75">
      <c r="A42" s="52" t="s">
        <v>289</v>
      </c>
      <c r="B42" s="62">
        <f>SUM(B39:B41)</f>
        <v>500</v>
      </c>
      <c r="C42" s="69">
        <f>SUM(C39:C41)</f>
        <v>1361.3600000000001</v>
      </c>
    </row>
    <row r="44" spans="1:3" s="7" customFormat="1" ht="12.75">
      <c r="A44" s="7" t="s">
        <v>290</v>
      </c>
      <c r="B44" s="63">
        <f>B18+B28+B36+B42</f>
        <v>10974</v>
      </c>
      <c r="C44" s="67">
        <f>C18+C28+C36+C42</f>
        <v>11106.65</v>
      </c>
    </row>
    <row r="46" spans="1:3" s="7" customFormat="1" ht="12.75">
      <c r="A46" s="7" t="s">
        <v>76</v>
      </c>
      <c r="B46" s="63">
        <f>B11-B44</f>
        <v>-7474</v>
      </c>
      <c r="C46" s="67">
        <f>C11-C44</f>
        <v>-9321.65</v>
      </c>
    </row>
    <row r="50" ht="12.75">
      <c r="A50" t="s">
        <v>293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3">
      <selection activeCell="F14" sqref="F14"/>
    </sheetView>
  </sheetViews>
  <sheetFormatPr defaultColWidth="11.00390625" defaultRowHeight="12.75"/>
  <cols>
    <col min="1" max="1" width="22.875" style="54" bestFit="1" customWidth="1"/>
    <col min="2" max="2" width="10.75390625" style="70" customWidth="1"/>
    <col min="3" max="16384" width="10.75390625" style="54" customWidth="1"/>
  </cols>
  <sheetData>
    <row r="1" ht="15">
      <c r="A1" s="54" t="s">
        <v>323</v>
      </c>
    </row>
    <row r="3" ht="15">
      <c r="A3" s="56" t="s">
        <v>324</v>
      </c>
    </row>
    <row r="4" ht="15">
      <c r="A4" s="57" t="s">
        <v>325</v>
      </c>
    </row>
    <row r="5" spans="1:3" ht="15">
      <c r="A5" s="54" t="s">
        <v>326</v>
      </c>
      <c r="B5" s="70">
        <v>30000</v>
      </c>
      <c r="C5" s="58" t="s">
        <v>327</v>
      </c>
    </row>
    <row r="6" spans="1:3" ht="15">
      <c r="A6" s="54" t="s">
        <v>326</v>
      </c>
      <c r="B6" s="70">
        <v>10000</v>
      </c>
      <c r="C6" s="58" t="s">
        <v>328</v>
      </c>
    </row>
    <row r="7" spans="1:3" ht="15">
      <c r="A7" s="59" t="s">
        <v>196</v>
      </c>
      <c r="B7" s="70">
        <f>SUM(B5:B6)</f>
        <v>40000</v>
      </c>
      <c r="C7" s="58"/>
    </row>
    <row r="8" ht="15">
      <c r="C8" s="58"/>
    </row>
    <row r="9" spans="1:3" ht="15">
      <c r="A9" s="57" t="s">
        <v>329</v>
      </c>
      <c r="C9" s="58" t="s">
        <v>330</v>
      </c>
    </row>
    <row r="10" spans="1:3" ht="15">
      <c r="A10" s="54" t="s">
        <v>331</v>
      </c>
      <c r="B10" s="70">
        <v>7500</v>
      </c>
      <c r="C10" s="54" t="s">
        <v>332</v>
      </c>
    </row>
    <row r="12" spans="1:2" ht="15">
      <c r="A12" s="60" t="s">
        <v>181</v>
      </c>
      <c r="B12" s="71">
        <f>SUM(B7+B10)</f>
        <v>47500</v>
      </c>
    </row>
    <row r="14" ht="15">
      <c r="A14" s="56" t="s">
        <v>272</v>
      </c>
    </row>
    <row r="15" ht="15">
      <c r="A15" s="57" t="s">
        <v>31</v>
      </c>
    </row>
    <row r="16" spans="1:3" ht="15">
      <c r="A16" s="54" t="s">
        <v>333</v>
      </c>
      <c r="B16" s="70">
        <v>15000</v>
      </c>
      <c r="C16" s="54" t="s">
        <v>344</v>
      </c>
    </row>
    <row r="18" ht="15">
      <c r="A18" s="57" t="s">
        <v>334</v>
      </c>
    </row>
    <row r="19" spans="1:3" ht="15">
      <c r="A19" s="54" t="s">
        <v>335</v>
      </c>
      <c r="B19" s="70">
        <v>200</v>
      </c>
      <c r="C19" s="54" t="s">
        <v>336</v>
      </c>
    </row>
    <row r="20" spans="1:3" ht="15">
      <c r="A20" s="54" t="s">
        <v>337</v>
      </c>
      <c r="B20" s="70">
        <f>0.07*B7</f>
        <v>2800.0000000000005</v>
      </c>
      <c r="C20" s="54" t="s">
        <v>435</v>
      </c>
    </row>
    <row r="21" spans="1:2" ht="15">
      <c r="A21" s="59"/>
      <c r="B21" s="72"/>
    </row>
    <row r="22" ht="15">
      <c r="A22" s="57" t="s">
        <v>439</v>
      </c>
    </row>
    <row r="23" spans="1:3" ht="15">
      <c r="A23" s="54" t="s">
        <v>338</v>
      </c>
      <c r="B23" s="70">
        <v>11000</v>
      </c>
      <c r="C23" s="54" t="s">
        <v>345</v>
      </c>
    </row>
    <row r="24" spans="1:2" ht="15">
      <c r="A24" s="54" t="s">
        <v>437</v>
      </c>
      <c r="B24" s="70">
        <v>1700</v>
      </c>
    </row>
    <row r="26" ht="15">
      <c r="A26" s="57" t="s">
        <v>438</v>
      </c>
    </row>
    <row r="27" spans="1:3" ht="15">
      <c r="A27" s="54" t="s">
        <v>339</v>
      </c>
      <c r="B27" s="70">
        <v>4350</v>
      </c>
      <c r="C27" s="54" t="s">
        <v>346</v>
      </c>
    </row>
    <row r="28" spans="1:3" ht="15">
      <c r="A28" s="54" t="s">
        <v>434</v>
      </c>
      <c r="B28" s="70">
        <v>4500</v>
      </c>
      <c r="C28" s="54" t="s">
        <v>436</v>
      </c>
    </row>
    <row r="29" spans="1:3" ht="15">
      <c r="A29" s="54" t="s">
        <v>433</v>
      </c>
      <c r="B29" s="70">
        <v>350</v>
      </c>
      <c r="C29" s="54" t="s">
        <v>340</v>
      </c>
    </row>
    <row r="30" spans="1:2" ht="15">
      <c r="A30" s="54" t="s">
        <v>443</v>
      </c>
      <c r="B30" s="70">
        <v>100</v>
      </c>
    </row>
    <row r="32" spans="1:2" ht="15">
      <c r="A32" s="57" t="s">
        <v>440</v>
      </c>
      <c r="B32" s="70">
        <v>7500</v>
      </c>
    </row>
    <row r="34" spans="1:2" ht="15">
      <c r="A34" s="56" t="s">
        <v>341</v>
      </c>
      <c r="B34" s="71">
        <f>SUM(B15:B32)</f>
        <v>47500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8"/>
  <sheetViews>
    <sheetView workbookViewId="0" topLeftCell="A1">
      <selection activeCell="A9" sqref="A9"/>
    </sheetView>
  </sheetViews>
  <sheetFormatPr defaultColWidth="11.00390625" defaultRowHeight="12.75"/>
  <cols>
    <col min="1" max="1" width="19.00390625" style="54" customWidth="1"/>
    <col min="2" max="2" width="13.00390625" style="54" bestFit="1" customWidth="1"/>
    <col min="3" max="3" width="27.00390625" style="54" bestFit="1" customWidth="1"/>
    <col min="4" max="4" width="10.875" style="54" bestFit="1" customWidth="1"/>
    <col min="5" max="10" width="10.75390625" style="55" customWidth="1"/>
    <col min="11" max="11" width="7.875" style="55" bestFit="1" customWidth="1"/>
    <col min="12" max="14" width="10.75390625" style="55" customWidth="1"/>
    <col min="15" max="16384" width="10.75390625" style="54" customWidth="1"/>
  </cols>
  <sheetData>
    <row r="2" ht="15">
      <c r="A2" s="54" t="s">
        <v>422</v>
      </c>
    </row>
    <row r="4" spans="1:13" ht="15">
      <c r="A4" s="54" t="s">
        <v>421</v>
      </c>
      <c r="B4" s="54" t="s">
        <v>420</v>
      </c>
      <c r="D4" s="54" t="s">
        <v>419</v>
      </c>
      <c r="E4" s="55" t="s">
        <v>418</v>
      </c>
      <c r="F4" s="55" t="s">
        <v>417</v>
      </c>
      <c r="G4" s="55" t="s">
        <v>416</v>
      </c>
      <c r="H4" s="55" t="s">
        <v>415</v>
      </c>
      <c r="I4" s="55" t="s">
        <v>414</v>
      </c>
      <c r="J4" s="55" t="s">
        <v>413</v>
      </c>
      <c r="K4" s="55" t="s">
        <v>412</v>
      </c>
      <c r="L4" s="55" t="s">
        <v>411</v>
      </c>
      <c r="M4" s="55" t="s">
        <v>410</v>
      </c>
    </row>
    <row r="5" ht="15">
      <c r="A5" s="56" t="s">
        <v>409</v>
      </c>
    </row>
    <row r="6" spans="1:11" ht="15">
      <c r="A6" s="75" t="s">
        <v>408</v>
      </c>
      <c r="B6" s="54" t="s">
        <v>407</v>
      </c>
      <c r="C6" s="76" t="s">
        <v>406</v>
      </c>
      <c r="D6" s="54" t="s">
        <v>352</v>
      </c>
      <c r="E6" s="55">
        <v>500</v>
      </c>
      <c r="F6" s="55">
        <v>0</v>
      </c>
      <c r="K6" s="55" t="s">
        <v>351</v>
      </c>
    </row>
    <row r="7" spans="1:11" ht="15">
      <c r="A7" s="75" t="s">
        <v>405</v>
      </c>
      <c r="B7" s="54" t="s">
        <v>404</v>
      </c>
      <c r="C7" s="76" t="s">
        <v>403</v>
      </c>
      <c r="D7" s="54" t="s">
        <v>391</v>
      </c>
      <c r="E7" s="55">
        <v>500</v>
      </c>
      <c r="F7" s="55">
        <v>0</v>
      </c>
      <c r="K7" s="55" t="s">
        <v>351</v>
      </c>
    </row>
    <row r="8" spans="1:11" ht="15">
      <c r="A8" s="75" t="s">
        <v>402</v>
      </c>
      <c r="B8" s="54" t="s">
        <v>401</v>
      </c>
      <c r="C8" s="76" t="s">
        <v>400</v>
      </c>
      <c r="D8" s="54" t="s">
        <v>352</v>
      </c>
      <c r="E8" s="55">
        <v>500</v>
      </c>
      <c r="F8" s="55">
        <v>0</v>
      </c>
      <c r="K8" s="55" t="s">
        <v>351</v>
      </c>
    </row>
    <row r="9" spans="1:11" ht="15">
      <c r="A9" s="75" t="s">
        <v>399</v>
      </c>
      <c r="B9" s="54" t="s">
        <v>398</v>
      </c>
      <c r="C9" s="54" t="s">
        <v>397</v>
      </c>
      <c r="D9" s="54" t="s">
        <v>391</v>
      </c>
      <c r="E9" s="103">
        <v>500</v>
      </c>
      <c r="F9" s="55">
        <v>0</v>
      </c>
      <c r="K9" s="55" t="s">
        <v>351</v>
      </c>
    </row>
    <row r="10" spans="1:13" ht="15">
      <c r="A10" s="75" t="s">
        <v>396</v>
      </c>
      <c r="B10" s="54" t="s">
        <v>441</v>
      </c>
      <c r="C10" s="54" t="s">
        <v>395</v>
      </c>
      <c r="D10" s="54" t="s">
        <v>352</v>
      </c>
      <c r="E10" s="55">
        <v>500</v>
      </c>
      <c r="F10" s="55">
        <v>350</v>
      </c>
      <c r="G10" s="55">
        <v>350</v>
      </c>
      <c r="H10" s="55">
        <v>50</v>
      </c>
      <c r="I10" s="55">
        <v>0</v>
      </c>
      <c r="J10" s="55">
        <v>200</v>
      </c>
      <c r="K10" s="55" t="s">
        <v>351</v>
      </c>
      <c r="L10" s="55">
        <v>600</v>
      </c>
      <c r="M10" s="61">
        <v>100</v>
      </c>
    </row>
    <row r="11" spans="1:14" ht="15">
      <c r="A11" s="54" t="s">
        <v>394</v>
      </c>
      <c r="B11" s="54" t="s">
        <v>393</v>
      </c>
      <c r="C11" s="54" t="s">
        <v>392</v>
      </c>
      <c r="D11" s="54" t="s">
        <v>391</v>
      </c>
      <c r="E11" s="103">
        <v>500</v>
      </c>
      <c r="F11" s="106">
        <v>500</v>
      </c>
      <c r="G11" s="55">
        <v>249.8</v>
      </c>
      <c r="H11" s="55">
        <v>64</v>
      </c>
      <c r="I11" s="74" t="s">
        <v>390</v>
      </c>
      <c r="J11" s="55">
        <v>200</v>
      </c>
      <c r="K11" s="55" t="s">
        <v>351</v>
      </c>
      <c r="L11" s="55">
        <v>1014</v>
      </c>
      <c r="M11" s="105">
        <v>500</v>
      </c>
      <c r="N11" s="55" t="s">
        <v>389</v>
      </c>
    </row>
    <row r="12" spans="1:13" ht="15">
      <c r="A12" s="54" t="s">
        <v>353</v>
      </c>
      <c r="B12" s="54" t="s">
        <v>388</v>
      </c>
      <c r="C12" s="54" t="s">
        <v>387</v>
      </c>
      <c r="D12" s="54" t="s">
        <v>352</v>
      </c>
      <c r="E12" s="103">
        <v>500</v>
      </c>
      <c r="F12" s="55">
        <v>350</v>
      </c>
      <c r="G12" s="55">
        <v>350</v>
      </c>
      <c r="H12" s="55">
        <v>50</v>
      </c>
      <c r="I12" s="55">
        <v>250</v>
      </c>
      <c r="J12" s="55">
        <v>200</v>
      </c>
      <c r="K12" s="55" t="s">
        <v>351</v>
      </c>
      <c r="L12" s="55">
        <f>SUM(G12:K12)</f>
        <v>850</v>
      </c>
      <c r="M12" s="105">
        <f>L12-E12</f>
        <v>350</v>
      </c>
    </row>
    <row r="13" spans="1:13" ht="15">
      <c r="A13" s="54" t="s">
        <v>353</v>
      </c>
      <c r="B13" s="54" t="s">
        <v>386</v>
      </c>
      <c r="C13" s="54" t="s">
        <v>385</v>
      </c>
      <c r="D13" s="54" t="s">
        <v>352</v>
      </c>
      <c r="E13" s="103">
        <v>500</v>
      </c>
      <c r="F13" s="55">
        <v>350</v>
      </c>
      <c r="G13" s="55">
        <v>350</v>
      </c>
      <c r="H13" s="55">
        <v>50</v>
      </c>
      <c r="I13" s="55">
        <v>250</v>
      </c>
      <c r="J13" s="55">
        <v>200</v>
      </c>
      <c r="K13" s="55" t="s">
        <v>351</v>
      </c>
      <c r="L13" s="55">
        <f>SUM(G13:K13)</f>
        <v>850</v>
      </c>
      <c r="M13" s="105">
        <f>L13-E13</f>
        <v>350</v>
      </c>
    </row>
    <row r="14" spans="1:15" ht="15">
      <c r="A14" s="54" t="s">
        <v>384</v>
      </c>
      <c r="B14" s="54" t="s">
        <v>383</v>
      </c>
      <c r="C14" s="54" t="s">
        <v>382</v>
      </c>
      <c r="D14" s="54" t="s">
        <v>352</v>
      </c>
      <c r="E14" s="55">
        <v>500</v>
      </c>
      <c r="F14" s="55">
        <v>720</v>
      </c>
      <c r="G14" s="55">
        <v>400</v>
      </c>
      <c r="H14" s="55">
        <v>50</v>
      </c>
      <c r="I14" s="55">
        <v>250</v>
      </c>
      <c r="J14" s="55">
        <v>200</v>
      </c>
      <c r="K14" s="55" t="s">
        <v>351</v>
      </c>
      <c r="L14" s="55">
        <f>SUM(G14:K14)</f>
        <v>900</v>
      </c>
      <c r="M14" s="105">
        <f>L14-E14</f>
        <v>400</v>
      </c>
      <c r="O14" s="55">
        <f>SUM(M10:M15)</f>
        <v>1700</v>
      </c>
    </row>
    <row r="15" spans="1:13" ht="15">
      <c r="A15" s="54" t="s">
        <v>381</v>
      </c>
      <c r="B15" s="54" t="s">
        <v>380</v>
      </c>
      <c r="C15" s="54" t="s">
        <v>379</v>
      </c>
      <c r="D15" s="54" t="s">
        <v>352</v>
      </c>
      <c r="E15" s="55">
        <v>0</v>
      </c>
      <c r="K15" s="55" t="s">
        <v>351</v>
      </c>
      <c r="L15" s="55">
        <v>0</v>
      </c>
      <c r="M15" s="55">
        <v>0</v>
      </c>
    </row>
    <row r="16" spans="1:13" ht="15">
      <c r="A16" s="56" t="s">
        <v>378</v>
      </c>
      <c r="E16" s="61">
        <f>SUM(E6:E15)</f>
        <v>4500</v>
      </c>
      <c r="I16" s="74"/>
      <c r="M16" s="61"/>
    </row>
    <row r="17" spans="9:13" ht="15">
      <c r="I17" s="74"/>
      <c r="M17" s="61"/>
    </row>
    <row r="18" spans="1:13" ht="15">
      <c r="A18" s="56" t="s">
        <v>377</v>
      </c>
      <c r="I18" s="74"/>
      <c r="M18" s="61"/>
    </row>
    <row r="19" spans="1:13" ht="15">
      <c r="A19" s="54" t="s">
        <v>376</v>
      </c>
      <c r="B19" s="54" t="s">
        <v>375</v>
      </c>
      <c r="C19" s="54" t="s">
        <v>374</v>
      </c>
      <c r="D19" s="54" t="s">
        <v>373</v>
      </c>
      <c r="E19" s="55">
        <v>0</v>
      </c>
      <c r="F19" s="106">
        <v>600</v>
      </c>
      <c r="G19" s="55">
        <v>400</v>
      </c>
      <c r="H19" s="55">
        <v>50</v>
      </c>
      <c r="I19" s="74" t="s">
        <v>372</v>
      </c>
      <c r="J19" s="55">
        <v>200</v>
      </c>
      <c r="K19" s="55" t="s">
        <v>351</v>
      </c>
      <c r="L19" s="55">
        <f>SUM(G19:K19)</f>
        <v>650</v>
      </c>
      <c r="M19" s="105">
        <f>L19-E19</f>
        <v>650</v>
      </c>
    </row>
    <row r="20" spans="1:13" ht="15">
      <c r="A20" s="54" t="s">
        <v>371</v>
      </c>
      <c r="B20" s="54" t="s">
        <v>370</v>
      </c>
      <c r="C20" s="54" t="s">
        <v>368</v>
      </c>
      <c r="D20" s="54" t="s">
        <v>354</v>
      </c>
      <c r="E20" s="55">
        <v>0</v>
      </c>
      <c r="F20" s="55">
        <v>300</v>
      </c>
      <c r="G20" s="55">
        <v>350</v>
      </c>
      <c r="H20" s="55">
        <v>50</v>
      </c>
      <c r="K20" s="55" t="s">
        <v>351</v>
      </c>
      <c r="L20" s="55">
        <f>SUM(G20:K20)</f>
        <v>400</v>
      </c>
      <c r="M20" s="61">
        <f>L20-E20</f>
        <v>400</v>
      </c>
    </row>
    <row r="21" spans="2:13" ht="15">
      <c r="B21" s="54" t="s">
        <v>369</v>
      </c>
      <c r="C21" s="54" t="s">
        <v>368</v>
      </c>
      <c r="D21" s="54" t="s">
        <v>354</v>
      </c>
      <c r="E21" s="55">
        <v>0</v>
      </c>
      <c r="F21" s="55">
        <v>300</v>
      </c>
      <c r="G21" s="55">
        <v>350</v>
      </c>
      <c r="H21" s="55">
        <v>50</v>
      </c>
      <c r="K21" s="55" t="s">
        <v>351</v>
      </c>
      <c r="L21" s="55">
        <f>SUM(G21:K21)</f>
        <v>400</v>
      </c>
      <c r="M21" s="61">
        <f>L21-E21</f>
        <v>400</v>
      </c>
    </row>
    <row r="22" spans="1:13" ht="15">
      <c r="A22" s="54" t="s">
        <v>366</v>
      </c>
      <c r="B22" s="54" t="s">
        <v>367</v>
      </c>
      <c r="C22" s="54" t="s">
        <v>347</v>
      </c>
      <c r="D22" s="54" t="s">
        <v>354</v>
      </c>
      <c r="E22" s="55">
        <v>0</v>
      </c>
      <c r="F22" s="55">
        <v>600</v>
      </c>
      <c r="G22" s="55">
        <v>300</v>
      </c>
      <c r="H22" s="55">
        <v>50</v>
      </c>
      <c r="I22" s="55">
        <v>250</v>
      </c>
      <c r="K22" s="55" t="s">
        <v>351</v>
      </c>
      <c r="L22" s="55">
        <f>SUM(G22:K22)</f>
        <v>600</v>
      </c>
      <c r="M22" s="61">
        <v>600</v>
      </c>
    </row>
    <row r="23" spans="1:13" ht="15">
      <c r="A23" s="54" t="s">
        <v>366</v>
      </c>
      <c r="B23" s="54" t="s">
        <v>365</v>
      </c>
      <c r="C23" s="54" t="s">
        <v>364</v>
      </c>
      <c r="D23" s="54" t="s">
        <v>354</v>
      </c>
      <c r="E23" s="55">
        <v>0</v>
      </c>
      <c r="F23" s="55">
        <v>350</v>
      </c>
      <c r="G23" s="55">
        <v>300</v>
      </c>
      <c r="H23" s="55">
        <v>50</v>
      </c>
      <c r="K23" s="55">
        <v>0</v>
      </c>
      <c r="M23" s="61">
        <v>350</v>
      </c>
    </row>
    <row r="24" spans="1:13" ht="15">
      <c r="A24" s="54" t="s">
        <v>363</v>
      </c>
      <c r="B24" s="54" t="s">
        <v>362</v>
      </c>
      <c r="C24" s="54" t="s">
        <v>361</v>
      </c>
      <c r="D24" s="54" t="s">
        <v>354</v>
      </c>
      <c r="E24" s="55">
        <v>0</v>
      </c>
      <c r="F24" s="55">
        <v>750</v>
      </c>
      <c r="G24" s="55">
        <v>350</v>
      </c>
      <c r="H24" s="55">
        <v>50</v>
      </c>
      <c r="I24" s="55">
        <v>425</v>
      </c>
      <c r="K24" s="55">
        <v>350</v>
      </c>
      <c r="L24" s="55">
        <f>SUM(G24:K24)</f>
        <v>1175</v>
      </c>
      <c r="M24" s="61">
        <v>400</v>
      </c>
    </row>
    <row r="25" spans="1:13" ht="15">
      <c r="A25" s="54" t="s">
        <v>360</v>
      </c>
      <c r="B25" s="54" t="s">
        <v>359</v>
      </c>
      <c r="C25" s="54" t="s">
        <v>358</v>
      </c>
      <c r="D25" s="54" t="s">
        <v>354</v>
      </c>
      <c r="F25" s="106">
        <v>500</v>
      </c>
      <c r="G25" s="55">
        <v>250</v>
      </c>
      <c r="I25" s="55">
        <v>250</v>
      </c>
      <c r="K25" s="55" t="s">
        <v>351</v>
      </c>
      <c r="L25" s="55">
        <v>500</v>
      </c>
      <c r="M25" s="105">
        <v>500</v>
      </c>
    </row>
    <row r="26" spans="1:13" ht="15">
      <c r="A26" s="54" t="s">
        <v>357</v>
      </c>
      <c r="B26" s="54" t="s">
        <v>356</v>
      </c>
      <c r="C26" s="54" t="s">
        <v>355</v>
      </c>
      <c r="D26" s="54" t="s">
        <v>354</v>
      </c>
      <c r="F26" s="55">
        <v>600</v>
      </c>
      <c r="G26" s="55">
        <v>300</v>
      </c>
      <c r="H26" s="55">
        <v>50</v>
      </c>
      <c r="I26" s="55">
        <v>250</v>
      </c>
      <c r="M26" s="105">
        <v>600</v>
      </c>
    </row>
    <row r="27" spans="1:13" ht="15">
      <c r="A27" s="54" t="s">
        <v>431</v>
      </c>
      <c r="B27" s="54" t="s">
        <v>432</v>
      </c>
      <c r="C27" s="54" t="s">
        <v>442</v>
      </c>
      <c r="D27" s="54" t="s">
        <v>354</v>
      </c>
      <c r="F27" s="55">
        <v>300</v>
      </c>
      <c r="G27" s="55">
        <v>300</v>
      </c>
      <c r="I27" s="55">
        <v>150</v>
      </c>
      <c r="M27" s="61">
        <v>450</v>
      </c>
    </row>
    <row r="28" ht="15">
      <c r="M28" s="61"/>
    </row>
    <row r="29" spans="1:15" ht="15">
      <c r="A29" s="56" t="s">
        <v>350</v>
      </c>
      <c r="M29" s="61">
        <f>SUM(M10:M27)</f>
        <v>6050</v>
      </c>
      <c r="O29" s="55">
        <f>SUM(M19:M27)</f>
        <v>4350</v>
      </c>
    </row>
    <row r="31" spans="1:3" ht="15">
      <c r="A31" s="54" t="s">
        <v>349</v>
      </c>
      <c r="B31" s="54">
        <v>15</v>
      </c>
      <c r="C31" s="104" t="s">
        <v>430</v>
      </c>
    </row>
    <row r="32" spans="1:2" ht="15">
      <c r="A32" s="54" t="s">
        <v>348</v>
      </c>
      <c r="B32" s="54">
        <v>19</v>
      </c>
    </row>
    <row r="38" ht="15">
      <c r="G38" s="73"/>
    </row>
  </sheetData>
  <sheetProtection/>
  <hyperlinks>
    <hyperlink ref="C8" r:id="rId1" display="nick.coleman@theuptake.org"/>
    <hyperlink ref="C7" r:id="rId2" display="ken@inthesetimes.com"/>
    <hyperlink ref="C6" r:id="rId3" display="em.crockett@gmail.com"/>
  </hyperlink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L50" sqref="L50"/>
    </sheetView>
  </sheetViews>
  <sheetFormatPr defaultColWidth="11.00390625" defaultRowHeight="12.75"/>
  <cols>
    <col min="1" max="1" width="23.125" style="0" customWidth="1"/>
    <col min="2" max="2" width="10.75390625" style="0" customWidth="1"/>
    <col min="5" max="5" width="10.75390625" style="107" customWidth="1"/>
    <col min="6" max="6" width="10.625" style="0" customWidth="1"/>
  </cols>
  <sheetData>
    <row r="2" ht="12.75">
      <c r="A2" t="s">
        <v>454</v>
      </c>
    </row>
    <row r="4" spans="1:5" s="31" customFormat="1" ht="15">
      <c r="A4" s="108" t="s">
        <v>455</v>
      </c>
      <c r="E4" s="109"/>
    </row>
    <row r="5" spans="1:8" s="17" customFormat="1" ht="15">
      <c r="A5" s="110" t="s">
        <v>456</v>
      </c>
      <c r="E5" s="111"/>
      <c r="F5" s="22">
        <v>30000</v>
      </c>
      <c r="H5" s="17" t="s">
        <v>457</v>
      </c>
    </row>
    <row r="6" spans="1:6" s="17" customFormat="1" ht="15">
      <c r="A6" s="110" t="s">
        <v>458</v>
      </c>
      <c r="E6" s="111"/>
      <c r="F6" s="112">
        <f>SUM(F4:F5)</f>
        <v>30000</v>
      </c>
    </row>
    <row r="7" ht="15">
      <c r="A7" s="110"/>
    </row>
    <row r="8" spans="1:3" ht="15">
      <c r="A8" s="108" t="s">
        <v>23</v>
      </c>
      <c r="C8" s="113"/>
    </row>
    <row r="9" spans="1:3" ht="15">
      <c r="A9" s="108"/>
      <c r="C9" s="113"/>
    </row>
    <row r="10" spans="1:3" ht="15">
      <c r="A10" s="114" t="s">
        <v>459</v>
      </c>
      <c r="C10" s="113"/>
    </row>
    <row r="11" spans="1:8" ht="15">
      <c r="A11" s="110" t="s">
        <v>187</v>
      </c>
      <c r="B11" s="2"/>
      <c r="C11" s="113">
        <v>4500</v>
      </c>
      <c r="F11" s="115">
        <v>4500</v>
      </c>
      <c r="G11" s="115"/>
      <c r="H11" t="s">
        <v>460</v>
      </c>
    </row>
    <row r="12" spans="1:8" ht="15">
      <c r="A12" s="110" t="s">
        <v>461</v>
      </c>
      <c r="B12" s="2"/>
      <c r="C12" s="113">
        <v>3000</v>
      </c>
      <c r="F12" s="115">
        <v>3000</v>
      </c>
      <c r="G12" s="115"/>
      <c r="H12" t="s">
        <v>462</v>
      </c>
    </row>
    <row r="13" spans="1:8" ht="15">
      <c r="A13" s="110" t="s">
        <v>463</v>
      </c>
      <c r="C13" s="113"/>
      <c r="F13" s="116" t="s">
        <v>464</v>
      </c>
      <c r="H13" t="s">
        <v>465</v>
      </c>
    </row>
    <row r="14" spans="1:8" ht="15">
      <c r="A14" s="110" t="s">
        <v>466</v>
      </c>
      <c r="C14" s="113"/>
      <c r="D14">
        <v>1800</v>
      </c>
      <c r="F14" s="116">
        <v>1800</v>
      </c>
      <c r="H14" t="s">
        <v>467</v>
      </c>
    </row>
    <row r="15" spans="1:6" ht="15">
      <c r="A15" s="110"/>
      <c r="C15" s="113"/>
      <c r="F15" s="116"/>
    </row>
    <row r="16" spans="1:5" s="114" customFormat="1" ht="15">
      <c r="A16" s="114" t="s">
        <v>468</v>
      </c>
      <c r="E16" s="117"/>
    </row>
    <row r="17" spans="1:6" ht="15">
      <c r="A17" s="110" t="s">
        <v>469</v>
      </c>
      <c r="F17" s="116" t="s">
        <v>464</v>
      </c>
    </row>
    <row r="18" ht="15">
      <c r="A18" s="108"/>
    </row>
    <row r="19" spans="1:6" s="114" customFormat="1" ht="15">
      <c r="A19" s="114" t="s">
        <v>470</v>
      </c>
      <c r="B19" s="117" t="s">
        <v>471</v>
      </c>
      <c r="C19" s="117" t="s">
        <v>472</v>
      </c>
      <c r="D19" s="117" t="s">
        <v>473</v>
      </c>
      <c r="E19" s="117" t="s">
        <v>474</v>
      </c>
      <c r="F19" s="117" t="s">
        <v>289</v>
      </c>
    </row>
    <row r="20" ht="15">
      <c r="A20" s="110"/>
    </row>
    <row r="21" spans="1:8" ht="15">
      <c r="A21" s="110" t="s">
        <v>475</v>
      </c>
      <c r="B21" s="113">
        <v>3750</v>
      </c>
      <c r="C21" s="118" t="s">
        <v>476</v>
      </c>
      <c r="D21" s="118" t="s">
        <v>476</v>
      </c>
      <c r="E21" s="118" t="s">
        <v>476</v>
      </c>
      <c r="F21" s="113">
        <v>3750</v>
      </c>
      <c r="H21" t="s">
        <v>477</v>
      </c>
    </row>
    <row r="22" spans="1:8" ht="15">
      <c r="A22" s="110" t="s">
        <v>478</v>
      </c>
      <c r="B22" s="113">
        <v>8000</v>
      </c>
      <c r="C22" s="118" t="s">
        <v>476</v>
      </c>
      <c r="D22" s="118" t="s">
        <v>476</v>
      </c>
      <c r="E22" s="118" t="s">
        <v>476</v>
      </c>
      <c r="F22" s="113">
        <v>8000</v>
      </c>
      <c r="G22" s="113"/>
      <c r="H22" t="s">
        <v>479</v>
      </c>
    </row>
    <row r="23" spans="1:8" ht="15">
      <c r="A23" s="110" t="s">
        <v>480</v>
      </c>
      <c r="B23" s="113">
        <v>3000</v>
      </c>
      <c r="C23" s="113">
        <v>1500</v>
      </c>
      <c r="D23" s="118" t="s">
        <v>476</v>
      </c>
      <c r="E23" s="118" t="s">
        <v>476</v>
      </c>
      <c r="F23" s="113">
        <v>4500</v>
      </c>
      <c r="H23" t="s">
        <v>481</v>
      </c>
    </row>
    <row r="24" spans="1:6" ht="15">
      <c r="A24" s="110"/>
      <c r="B24" s="113"/>
      <c r="C24" s="113"/>
      <c r="D24" s="113"/>
      <c r="E24" s="118"/>
      <c r="F24" s="113"/>
    </row>
    <row r="25" spans="1:6" ht="15">
      <c r="A25" s="114" t="s">
        <v>482</v>
      </c>
      <c r="B25" s="113"/>
      <c r="C25" s="113"/>
      <c r="D25" s="113"/>
      <c r="E25" s="118"/>
      <c r="F25" s="113"/>
    </row>
    <row r="26" spans="1:8" ht="15">
      <c r="A26" s="110" t="s">
        <v>483</v>
      </c>
      <c r="B26" s="118" t="s">
        <v>476</v>
      </c>
      <c r="C26" s="118" t="s">
        <v>476</v>
      </c>
      <c r="D26" s="118" t="s">
        <v>476</v>
      </c>
      <c r="E26" s="118" t="s">
        <v>476</v>
      </c>
      <c r="F26" s="113">
        <v>0</v>
      </c>
      <c r="H26" s="119" t="s">
        <v>484</v>
      </c>
    </row>
    <row r="27" spans="1:8" ht="15">
      <c r="A27" s="110" t="s">
        <v>485</v>
      </c>
      <c r="B27" s="107" t="s">
        <v>354</v>
      </c>
      <c r="C27" s="113">
        <v>2000</v>
      </c>
      <c r="D27" s="113"/>
      <c r="E27" s="118"/>
      <c r="F27" s="113">
        <v>2000</v>
      </c>
      <c r="H27" t="s">
        <v>486</v>
      </c>
    </row>
    <row r="28" spans="1:6" ht="15">
      <c r="A28" s="110"/>
      <c r="B28" s="113"/>
      <c r="C28" s="113"/>
      <c r="D28" s="113"/>
      <c r="E28" s="118"/>
      <c r="F28" s="113"/>
    </row>
    <row r="29" spans="1:8" ht="15">
      <c r="A29" s="114" t="s">
        <v>487</v>
      </c>
      <c r="B29" s="113">
        <v>0</v>
      </c>
      <c r="C29" s="113">
        <v>0</v>
      </c>
      <c r="D29" s="113"/>
      <c r="E29" s="118">
        <f>0.07*F6</f>
        <v>2100</v>
      </c>
      <c r="F29" s="113">
        <f>0.07*F6</f>
        <v>2100</v>
      </c>
      <c r="H29" t="s">
        <v>488</v>
      </c>
    </row>
    <row r="30" spans="1:6" ht="15">
      <c r="A30" s="114"/>
      <c r="B30" s="113"/>
      <c r="C30" s="113"/>
      <c r="D30" s="113"/>
      <c r="E30" s="118"/>
      <c r="F30" s="113"/>
    </row>
    <row r="31" spans="1:6" ht="15">
      <c r="A31" s="114" t="s">
        <v>71</v>
      </c>
      <c r="B31" s="113"/>
      <c r="C31" s="113"/>
      <c r="D31" s="113"/>
      <c r="E31" s="118"/>
      <c r="F31" s="113">
        <v>500</v>
      </c>
    </row>
    <row r="32" spans="1:6" ht="15">
      <c r="A32" s="110"/>
      <c r="B32" s="113"/>
      <c r="C32" s="113"/>
      <c r="D32" s="113"/>
      <c r="E32" s="118"/>
      <c r="F32" s="113"/>
    </row>
    <row r="33" spans="1:7" ht="15">
      <c r="A33" s="110" t="s">
        <v>489</v>
      </c>
      <c r="B33" s="113">
        <f>SUM(B11:B29)</f>
        <v>14750</v>
      </c>
      <c r="C33" s="113">
        <f>SUM(C11:C29)</f>
        <v>11000</v>
      </c>
      <c r="D33" s="113">
        <v>1800</v>
      </c>
      <c r="E33" s="118">
        <f>SUM(E21:E29)</f>
        <v>2100</v>
      </c>
      <c r="F33" s="120">
        <f>SUM(F11:F31)</f>
        <v>30150</v>
      </c>
      <c r="G33" s="120"/>
    </row>
    <row r="34" spans="1:6" ht="15">
      <c r="A34" s="110"/>
      <c r="B34" s="113"/>
      <c r="C34" s="113"/>
      <c r="D34" s="113"/>
      <c r="E34" s="118"/>
      <c r="F34" s="113"/>
    </row>
    <row r="35" ht="15">
      <c r="A35" s="110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H53" sqref="H53"/>
    </sheetView>
  </sheetViews>
  <sheetFormatPr defaultColWidth="11.00390625" defaultRowHeight="12.75"/>
  <cols>
    <col min="1" max="1" width="26.75390625" style="0" customWidth="1"/>
    <col min="2" max="2" width="9.875" style="35" customWidth="1"/>
    <col min="4" max="4" width="9.75390625" style="35" bestFit="1" customWidth="1"/>
  </cols>
  <sheetData>
    <row r="1" ht="12.75">
      <c r="A1" t="s">
        <v>128</v>
      </c>
    </row>
    <row r="3" ht="15">
      <c r="A3" s="31" t="s">
        <v>155</v>
      </c>
    </row>
    <row r="4" spans="1:4" ht="15">
      <c r="A4" s="31"/>
      <c r="B4" s="35" t="s">
        <v>156</v>
      </c>
      <c r="D4" s="35" t="s">
        <v>157</v>
      </c>
    </row>
    <row r="5" spans="1:4" ht="15">
      <c r="A5" s="31" t="s">
        <v>158</v>
      </c>
      <c r="C5" t="s">
        <v>159</v>
      </c>
      <c r="D5" s="35" t="s">
        <v>160</v>
      </c>
    </row>
    <row r="6" spans="1:5" s="36" customFormat="1" ht="15">
      <c r="A6" s="36" t="s">
        <v>161</v>
      </c>
      <c r="B6" s="37">
        <v>150000</v>
      </c>
      <c r="D6" s="37">
        <v>25000</v>
      </c>
      <c r="E6" s="36" t="s">
        <v>162</v>
      </c>
    </row>
    <row r="7" spans="2:4" s="17" customFormat="1" ht="12.75">
      <c r="B7" s="38"/>
      <c r="D7" s="38"/>
    </row>
    <row r="8" spans="1:4" s="17" customFormat="1" ht="15">
      <c r="A8" s="31" t="s">
        <v>163</v>
      </c>
      <c r="B8" s="38"/>
      <c r="D8" s="38"/>
    </row>
    <row r="9" spans="1:5" s="17" customFormat="1" ht="12.75">
      <c r="A9" s="17" t="s">
        <v>164</v>
      </c>
      <c r="B9" s="38">
        <v>1500</v>
      </c>
      <c r="D9" s="38">
        <v>1500</v>
      </c>
      <c r="E9" s="17" t="s">
        <v>165</v>
      </c>
    </row>
    <row r="10" spans="1:4" s="17" customFormat="1" ht="12.75">
      <c r="A10" s="17" t="s">
        <v>166</v>
      </c>
      <c r="B10" s="38">
        <v>30</v>
      </c>
      <c r="D10" s="38">
        <v>30</v>
      </c>
    </row>
    <row r="11" spans="1:4" s="31" customFormat="1" ht="15">
      <c r="A11" s="31" t="s">
        <v>167</v>
      </c>
      <c r="B11" s="39">
        <f>SUM(B9+B10*20)</f>
        <v>2100</v>
      </c>
      <c r="C11" s="39"/>
      <c r="D11" s="39">
        <f>SUM(D9+D10*20)</f>
        <v>2100</v>
      </c>
    </row>
    <row r="12" spans="2:4" s="17" customFormat="1" ht="12.75">
      <c r="B12" s="38"/>
      <c r="D12" s="38"/>
    </row>
    <row r="13" spans="1:5" s="17" customFormat="1" ht="12.75">
      <c r="A13" s="17" t="s">
        <v>168</v>
      </c>
      <c r="B13" s="38">
        <v>750</v>
      </c>
      <c r="D13" s="38">
        <v>750</v>
      </c>
      <c r="E13" s="17" t="s">
        <v>169</v>
      </c>
    </row>
    <row r="14" spans="1:4" s="17" customFormat="1" ht="12.75">
      <c r="A14" s="17" t="s">
        <v>170</v>
      </c>
      <c r="B14" s="38">
        <v>15</v>
      </c>
      <c r="D14" s="38">
        <v>15</v>
      </c>
    </row>
    <row r="15" spans="1:4" s="31" customFormat="1" ht="15">
      <c r="A15" s="31" t="s">
        <v>171</v>
      </c>
      <c r="B15" s="39">
        <f>SUM(B13+B14*30)</f>
        <v>1200</v>
      </c>
      <c r="C15" s="39"/>
      <c r="D15" s="39">
        <f>SUM(D13+D14*30)</f>
        <v>1200</v>
      </c>
    </row>
    <row r="16" spans="2:4" s="17" customFormat="1" ht="12.75">
      <c r="B16" s="38"/>
      <c r="D16" s="38"/>
    </row>
    <row r="17" spans="1:5" s="17" customFormat="1" ht="12.75">
      <c r="A17" s="17" t="s">
        <v>172</v>
      </c>
      <c r="B17" s="38">
        <v>105</v>
      </c>
      <c r="D17" s="38">
        <v>105</v>
      </c>
      <c r="E17" s="17" t="s">
        <v>173</v>
      </c>
    </row>
    <row r="18" spans="1:4" s="31" customFormat="1" ht="15">
      <c r="A18" s="31" t="s">
        <v>174</v>
      </c>
      <c r="B18" s="39">
        <v>2100</v>
      </c>
      <c r="D18" s="39">
        <v>2100</v>
      </c>
    </row>
    <row r="20" spans="1:5" s="17" customFormat="1" ht="12.75">
      <c r="A20" s="17" t="s">
        <v>175</v>
      </c>
      <c r="B20" s="38">
        <v>45</v>
      </c>
      <c r="D20" s="38">
        <v>45</v>
      </c>
      <c r="E20" s="17" t="s">
        <v>169</v>
      </c>
    </row>
    <row r="21" spans="1:4" s="31" customFormat="1" ht="15">
      <c r="A21" s="31" t="s">
        <v>176</v>
      </c>
      <c r="B21" s="39">
        <f>SUM(B20*30)</f>
        <v>1350</v>
      </c>
      <c r="D21" s="39">
        <f>SUM(D20*30)</f>
        <v>1350</v>
      </c>
    </row>
    <row r="22" spans="2:4" s="17" customFormat="1" ht="12.75">
      <c r="B22" s="38"/>
      <c r="D22" s="38"/>
    </row>
    <row r="23" spans="1:5" s="17" customFormat="1" ht="15">
      <c r="A23" s="40" t="s">
        <v>177</v>
      </c>
      <c r="B23" s="41">
        <f>SUM(C23*12)</f>
        <v>129600</v>
      </c>
      <c r="C23" s="41">
        <f>SUM(4*B11+2*B15)</f>
        <v>10800</v>
      </c>
      <c r="E23" s="17" t="s">
        <v>178</v>
      </c>
    </row>
    <row r="24" spans="1:5" s="40" customFormat="1" ht="15">
      <c r="A24" s="40" t="s">
        <v>179</v>
      </c>
      <c r="C24" s="41">
        <f>SUM(10*B11+4*B15+2*B18+2*B21)</f>
        <v>32700</v>
      </c>
      <c r="D24" s="41">
        <f>SUM(C24*12)</f>
        <v>392400</v>
      </c>
      <c r="E24" s="40" t="s">
        <v>180</v>
      </c>
    </row>
    <row r="25" spans="1:4" s="40" customFormat="1" ht="15">
      <c r="A25" s="40" t="s">
        <v>181</v>
      </c>
      <c r="B25" s="41">
        <f>SUM(B6+B23)</f>
        <v>279600</v>
      </c>
      <c r="C25" s="41"/>
      <c r="D25" s="41">
        <f>D24+D6</f>
        <v>417400</v>
      </c>
    </row>
    <row r="27" spans="1:5" ht="15">
      <c r="A27" s="31" t="s">
        <v>182</v>
      </c>
      <c r="B27" s="35" t="s">
        <v>183</v>
      </c>
      <c r="C27" t="s">
        <v>159</v>
      </c>
      <c r="D27" s="35" t="s">
        <v>160</v>
      </c>
      <c r="E27" t="s">
        <v>184</v>
      </c>
    </row>
    <row r="28" ht="15">
      <c r="A28" s="31" t="s">
        <v>117</v>
      </c>
    </row>
    <row r="29" spans="1:5" ht="12.75">
      <c r="A29" s="17" t="s">
        <v>185</v>
      </c>
      <c r="B29" s="35">
        <v>30000</v>
      </c>
      <c r="D29" s="35">
        <v>10000</v>
      </c>
      <c r="E29" t="s">
        <v>186</v>
      </c>
    </row>
    <row r="30" spans="1:5" ht="12.75">
      <c r="A30" s="17" t="s">
        <v>187</v>
      </c>
      <c r="B30" s="35" t="s">
        <v>188</v>
      </c>
      <c r="D30" s="35">
        <v>65000</v>
      </c>
      <c r="E30" t="s">
        <v>189</v>
      </c>
    </row>
    <row r="31" spans="1:5" ht="12.75">
      <c r="A31" s="17" t="s">
        <v>190</v>
      </c>
      <c r="B31" s="35">
        <v>15000</v>
      </c>
      <c r="D31" s="35">
        <v>35000</v>
      </c>
      <c r="E31" t="s">
        <v>191</v>
      </c>
    </row>
    <row r="32" spans="1:5" ht="12.75">
      <c r="A32" s="17" t="s">
        <v>192</v>
      </c>
      <c r="B32" s="35">
        <v>30000</v>
      </c>
      <c r="D32" s="35">
        <v>65000</v>
      </c>
      <c r="E32" t="s">
        <v>193</v>
      </c>
    </row>
    <row r="33" spans="1:5" ht="12.75">
      <c r="A33" s="17" t="s">
        <v>194</v>
      </c>
      <c r="B33" s="35">
        <v>15000</v>
      </c>
      <c r="D33" s="35">
        <v>35000</v>
      </c>
      <c r="E33" t="s">
        <v>195</v>
      </c>
    </row>
    <row r="34" spans="1:4" s="31" customFormat="1" ht="15">
      <c r="A34" s="31" t="s">
        <v>196</v>
      </c>
      <c r="B34" s="39">
        <f>SUM(B29:B33)</f>
        <v>90000</v>
      </c>
      <c r="C34" s="39"/>
      <c r="D34" s="39">
        <f>SUM(D29:D33)</f>
        <v>210000</v>
      </c>
    </row>
    <row r="35" ht="12.75">
      <c r="A35" s="17"/>
    </row>
    <row r="36" ht="15">
      <c r="A36" s="42" t="s">
        <v>197</v>
      </c>
    </row>
    <row r="37" spans="1:5" ht="12.75">
      <c r="A37" t="s">
        <v>198</v>
      </c>
      <c r="B37" s="35">
        <v>500</v>
      </c>
      <c r="D37" s="35">
        <v>2400</v>
      </c>
      <c r="E37" t="s">
        <v>199</v>
      </c>
    </row>
    <row r="38" spans="1:4" ht="12.75">
      <c r="A38" t="s">
        <v>200</v>
      </c>
      <c r="D38" s="35">
        <v>2500</v>
      </c>
    </row>
    <row r="39" spans="1:2" ht="12.75">
      <c r="A39" t="s">
        <v>201</v>
      </c>
      <c r="B39" s="35">
        <v>1500</v>
      </c>
    </row>
    <row r="40" spans="1:5" ht="12.75">
      <c r="A40" t="s">
        <v>202</v>
      </c>
      <c r="D40" s="35">
        <v>5000</v>
      </c>
      <c r="E40" t="s">
        <v>199</v>
      </c>
    </row>
    <row r="41" ht="12.75">
      <c r="A41" t="s">
        <v>203</v>
      </c>
    </row>
    <row r="42" spans="1:4" s="31" customFormat="1" ht="15">
      <c r="A42" s="31" t="s">
        <v>196</v>
      </c>
      <c r="B42" s="39">
        <f>SUM(B37:B40)</f>
        <v>2000</v>
      </c>
      <c r="C42" s="39"/>
      <c r="D42" s="39">
        <f>SUM(D37:D40)</f>
        <v>9900</v>
      </c>
    </row>
    <row r="44" ht="15">
      <c r="A44" s="31" t="s">
        <v>204</v>
      </c>
    </row>
    <row r="45" spans="1:5" ht="12.75">
      <c r="A45" t="s">
        <v>205</v>
      </c>
      <c r="D45" s="35">
        <v>600</v>
      </c>
      <c r="E45" t="s">
        <v>206</v>
      </c>
    </row>
    <row r="46" spans="1:5" ht="12.75">
      <c r="A46" t="s">
        <v>207</v>
      </c>
      <c r="D46" s="35">
        <v>1200</v>
      </c>
      <c r="E46" t="s">
        <v>208</v>
      </c>
    </row>
    <row r="47" spans="1:5" ht="12.75">
      <c r="A47" t="s">
        <v>209</v>
      </c>
      <c r="B47" s="35">
        <v>250</v>
      </c>
      <c r="D47" s="35">
        <v>1000</v>
      </c>
      <c r="E47" t="s">
        <v>210</v>
      </c>
    </row>
    <row r="48" spans="1:5" ht="12.75">
      <c r="A48" t="s">
        <v>211</v>
      </c>
      <c r="B48" s="35">
        <v>300</v>
      </c>
      <c r="D48" s="35">
        <v>2500</v>
      </c>
      <c r="E48" t="s">
        <v>212</v>
      </c>
    </row>
    <row r="49" spans="1:5" ht="12.75">
      <c r="A49" t="s">
        <v>213</v>
      </c>
      <c r="D49" s="35">
        <v>1800</v>
      </c>
      <c r="E49" t="s">
        <v>214</v>
      </c>
    </row>
    <row r="50" spans="1:5" s="43" customFormat="1" ht="15">
      <c r="A50" s="43" t="s">
        <v>215</v>
      </c>
      <c r="B50" s="44"/>
      <c r="D50" s="44"/>
      <c r="E50" s="43" t="s">
        <v>216</v>
      </c>
    </row>
    <row r="51" spans="1:5" s="43" customFormat="1" ht="15">
      <c r="A51" s="43" t="s">
        <v>217</v>
      </c>
      <c r="B51" s="44"/>
      <c r="D51" s="44"/>
      <c r="E51" s="43" t="s">
        <v>218</v>
      </c>
    </row>
    <row r="52" spans="1:4" s="31" customFormat="1" ht="15">
      <c r="A52" s="31" t="s">
        <v>196</v>
      </c>
      <c r="B52" s="39">
        <f>SUM(B45:B48)</f>
        <v>550</v>
      </c>
      <c r="C52" s="39"/>
      <c r="D52" s="39">
        <f>SUM(D45:D49)</f>
        <v>7100</v>
      </c>
    </row>
    <row r="53" ht="12.75">
      <c r="A53" s="17"/>
    </row>
    <row r="54" ht="15">
      <c r="A54" s="31" t="s">
        <v>219</v>
      </c>
    </row>
    <row r="55" spans="1:5" ht="12.75">
      <c r="A55" s="17" t="s">
        <v>220</v>
      </c>
      <c r="B55" s="35">
        <v>300</v>
      </c>
      <c r="D55" s="35">
        <v>1000</v>
      </c>
      <c r="E55" t="s">
        <v>221</v>
      </c>
    </row>
    <row r="56" spans="1:5" ht="12.75">
      <c r="A56" t="s">
        <v>222</v>
      </c>
      <c r="B56" s="35">
        <v>300</v>
      </c>
      <c r="D56" s="35">
        <v>300</v>
      </c>
      <c r="E56" t="s">
        <v>223</v>
      </c>
    </row>
    <row r="57" spans="1:5" ht="12.75">
      <c r="A57" t="s">
        <v>224</v>
      </c>
      <c r="B57" s="35">
        <v>100</v>
      </c>
      <c r="D57" s="35">
        <v>200</v>
      </c>
      <c r="E57" t="s">
        <v>225</v>
      </c>
    </row>
    <row r="58" spans="1:2" ht="12.75">
      <c r="A58" t="s">
        <v>226</v>
      </c>
      <c r="B58" s="35">
        <v>100</v>
      </c>
    </row>
    <row r="59" spans="1:4" ht="12.75">
      <c r="A59" t="s">
        <v>227</v>
      </c>
      <c r="B59" s="35">
        <v>600</v>
      </c>
      <c r="D59" s="35">
        <v>600</v>
      </c>
    </row>
    <row r="60" spans="1:4" s="31" customFormat="1" ht="15">
      <c r="A60" s="31" t="s">
        <v>196</v>
      </c>
      <c r="B60" s="39">
        <f>SUM(B55:B59)</f>
        <v>1400</v>
      </c>
      <c r="C60" s="39"/>
      <c r="D60" s="39">
        <f>SUM(D55:D59)</f>
        <v>2100</v>
      </c>
    </row>
    <row r="61" spans="2:4" s="31" customFormat="1" ht="15">
      <c r="B61" s="39"/>
      <c r="C61" s="39"/>
      <c r="D61" s="39"/>
    </row>
    <row r="62" spans="1:4" s="31" customFormat="1" ht="15">
      <c r="A62" s="31" t="s">
        <v>228</v>
      </c>
      <c r="B62" s="39">
        <f>SUM(B34+B42+B52+B60)</f>
        <v>93950</v>
      </c>
      <c r="C62" s="45">
        <f>SUM(D62/12)</f>
        <v>19091.666666666668</v>
      </c>
      <c r="D62" s="39">
        <f>SUM(D34+D42+D52+D60)</f>
        <v>229100</v>
      </c>
    </row>
    <row r="63" spans="2:4" s="31" customFormat="1" ht="15">
      <c r="B63" s="39"/>
      <c r="C63" s="39"/>
      <c r="D63" s="39"/>
    </row>
    <row r="65" spans="1:4" s="48" customFormat="1" ht="15">
      <c r="A65" s="46" t="s">
        <v>229</v>
      </c>
      <c r="B65" s="47"/>
      <c r="C65" s="48" t="s">
        <v>230</v>
      </c>
      <c r="D65" s="47"/>
    </row>
    <row r="66" spans="1:5" s="48" customFormat="1" ht="15">
      <c r="A66" s="49" t="s">
        <v>117</v>
      </c>
      <c r="B66" s="47"/>
      <c r="D66" s="47"/>
      <c r="E66" s="48" t="s">
        <v>231</v>
      </c>
    </row>
    <row r="67" spans="1:5" s="48" customFormat="1" ht="12.75">
      <c r="A67" s="48" t="s">
        <v>232</v>
      </c>
      <c r="B67" s="47"/>
      <c r="C67" s="48">
        <v>375</v>
      </c>
      <c r="D67" s="47">
        <v>300</v>
      </c>
      <c r="E67" s="48" t="s">
        <v>233</v>
      </c>
    </row>
    <row r="68" spans="1:5" s="48" customFormat="1" ht="12.75">
      <c r="A68" s="48" t="s">
        <v>234</v>
      </c>
      <c r="B68" s="47"/>
      <c r="C68" s="48">
        <v>225</v>
      </c>
      <c r="D68" s="47">
        <v>150</v>
      </c>
      <c r="E68" s="48" t="s">
        <v>235</v>
      </c>
    </row>
    <row r="69" spans="1:5" s="48" customFormat="1" ht="12.75">
      <c r="A69" s="48" t="s">
        <v>236</v>
      </c>
      <c r="B69" s="47"/>
      <c r="C69" s="48">
        <v>125</v>
      </c>
      <c r="D69" s="47">
        <v>125</v>
      </c>
      <c r="E69" s="48" t="s">
        <v>237</v>
      </c>
    </row>
    <row r="70" spans="2:4" s="48" customFormat="1" ht="12.75">
      <c r="B70" s="47"/>
      <c r="D70" s="47"/>
    </row>
    <row r="71" spans="1:4" s="48" customFormat="1" ht="15">
      <c r="A71" s="46" t="s">
        <v>238</v>
      </c>
      <c r="B71" s="47"/>
      <c r="D71" s="47"/>
    </row>
    <row r="72" spans="1:5" s="48" customFormat="1" ht="12.75">
      <c r="A72" s="48" t="s">
        <v>239</v>
      </c>
      <c r="B72" s="47"/>
      <c r="C72" s="48">
        <v>1000</v>
      </c>
      <c r="D72" s="47"/>
      <c r="E72" s="48" t="s">
        <v>240</v>
      </c>
    </row>
    <row r="73" spans="1:5" s="48" customFormat="1" ht="12.75">
      <c r="A73" s="48" t="s">
        <v>241</v>
      </c>
      <c r="B73" s="47"/>
      <c r="D73" s="47"/>
      <c r="E73" s="48" t="s">
        <v>242</v>
      </c>
    </row>
    <row r="74" spans="1:5" s="48" customFormat="1" ht="12.75">
      <c r="A74" s="48" t="s">
        <v>243</v>
      </c>
      <c r="B74" s="47"/>
      <c r="C74" s="48">
        <v>300</v>
      </c>
      <c r="D74" s="47"/>
      <c r="E74" s="48" t="s">
        <v>244</v>
      </c>
    </row>
    <row r="75" spans="1:5" s="48" customFormat="1" ht="12.75">
      <c r="A75" s="48" t="s">
        <v>245</v>
      </c>
      <c r="B75" s="47"/>
      <c r="C75" s="48">
        <v>75</v>
      </c>
      <c r="D75" s="47">
        <v>75</v>
      </c>
      <c r="E75" s="48" t="s">
        <v>246</v>
      </c>
    </row>
    <row r="76" spans="2:4" s="48" customFormat="1" ht="12.75">
      <c r="B76" s="47"/>
      <c r="D76" s="47"/>
    </row>
    <row r="77" spans="1:5" s="46" customFormat="1" ht="15">
      <c r="A77" s="46" t="s">
        <v>247</v>
      </c>
      <c r="B77" s="50"/>
      <c r="C77" s="46">
        <f>SUM(C67:C75)</f>
        <v>2100</v>
      </c>
      <c r="D77" s="46">
        <f>SUM(D67:D75)</f>
        <v>650</v>
      </c>
      <c r="E77" s="46" t="s">
        <v>248</v>
      </c>
    </row>
    <row r="78" s="46" customFormat="1" ht="15">
      <c r="B78" s="50"/>
    </row>
    <row r="79" s="46" customFormat="1" ht="15">
      <c r="B79" s="50"/>
    </row>
    <row r="80" spans="1:2" s="46" customFormat="1" ht="15">
      <c r="A80" s="46" t="s">
        <v>249</v>
      </c>
      <c r="B80" s="50"/>
    </row>
    <row r="81" spans="1:5" s="48" customFormat="1" ht="15">
      <c r="A81" s="49" t="s">
        <v>117</v>
      </c>
      <c r="B81" s="47"/>
      <c r="D81" s="47"/>
      <c r="E81" s="48" t="s">
        <v>231</v>
      </c>
    </row>
    <row r="82" spans="1:5" s="48" customFormat="1" ht="12.75">
      <c r="A82" s="48" t="s">
        <v>232</v>
      </c>
      <c r="B82" s="47"/>
      <c r="C82" s="48">
        <v>500</v>
      </c>
      <c r="D82" s="47">
        <v>400</v>
      </c>
      <c r="E82" s="48" t="s">
        <v>250</v>
      </c>
    </row>
    <row r="83" spans="2:4" s="48" customFormat="1" ht="12.75">
      <c r="B83" s="47"/>
      <c r="D83" s="47"/>
    </row>
    <row r="84" spans="1:5" s="46" customFormat="1" ht="15">
      <c r="A84" s="46" t="s">
        <v>247</v>
      </c>
      <c r="B84" s="50"/>
      <c r="C84" s="46">
        <f>SUM(C82:C82)</f>
        <v>500</v>
      </c>
      <c r="D84" s="46">
        <f>SUM(D82:D82)</f>
        <v>400</v>
      </c>
      <c r="E84" s="46" t="s">
        <v>251</v>
      </c>
    </row>
    <row r="86" spans="3:4" ht="12.75">
      <c r="C86" t="s">
        <v>252</v>
      </c>
      <c r="D86" s="35" t="s">
        <v>253</v>
      </c>
    </row>
    <row r="87" spans="1:3" ht="15">
      <c r="A87" s="31" t="s">
        <v>254</v>
      </c>
      <c r="B87" s="35" t="s">
        <v>255</v>
      </c>
      <c r="C87" t="s">
        <v>256</v>
      </c>
    </row>
    <row r="88" ht="12.75">
      <c r="A88" t="s">
        <v>257</v>
      </c>
    </row>
    <row r="89" spans="1:4" ht="12.75">
      <c r="A89" t="s">
        <v>258</v>
      </c>
      <c r="B89" s="51">
        <v>80</v>
      </c>
      <c r="C89" s="38">
        <v>105</v>
      </c>
      <c r="D89" s="35">
        <f>SUM(B89*C89*12)</f>
        <v>100800</v>
      </c>
    </row>
    <row r="90" spans="1:5" ht="12.75">
      <c r="A90" t="s">
        <v>259</v>
      </c>
      <c r="B90" s="51">
        <v>40</v>
      </c>
      <c r="C90" s="38">
        <v>20</v>
      </c>
      <c r="D90" s="35">
        <f>SUM(B90*C90*12)</f>
        <v>9600</v>
      </c>
      <c r="E90" t="s">
        <v>260</v>
      </c>
    </row>
    <row r="91" spans="2:3" ht="12.75">
      <c r="B91" s="51"/>
      <c r="C91" s="38"/>
    </row>
    <row r="92" ht="12.75">
      <c r="A92" t="s">
        <v>261</v>
      </c>
    </row>
    <row r="93" spans="1:4" ht="12.75">
      <c r="A93" t="s">
        <v>262</v>
      </c>
      <c r="B93" s="51">
        <v>240</v>
      </c>
      <c r="C93">
        <v>32</v>
      </c>
      <c r="D93" s="35">
        <f>SUM(B93*C93*12)</f>
        <v>92160</v>
      </c>
    </row>
    <row r="94" spans="1:4" ht="12.75">
      <c r="A94" t="s">
        <v>263</v>
      </c>
      <c r="B94" s="51">
        <v>180</v>
      </c>
      <c r="C94">
        <v>20</v>
      </c>
      <c r="D94" s="35">
        <f>SUM(B94*C94*12)</f>
        <v>43200</v>
      </c>
    </row>
    <row r="95" spans="2:5" ht="12.75">
      <c r="B95" s="51">
        <f>SUM(B93+B94)*12</f>
        <v>5040</v>
      </c>
      <c r="D95" s="35">
        <f>SUM(B93*C93+B94*C94+C62)/(B93+B94)</f>
        <v>72.31349206349206</v>
      </c>
      <c r="E95" t="s">
        <v>264</v>
      </c>
    </row>
    <row r="97" spans="1:4" s="31" customFormat="1" ht="15">
      <c r="A97" s="31" t="s">
        <v>265</v>
      </c>
      <c r="B97" s="39"/>
      <c r="C97" s="32">
        <v>110400</v>
      </c>
      <c r="D97" s="39">
        <f>SUM(D93:D94)</f>
        <v>135360</v>
      </c>
    </row>
    <row r="99" spans="3:4" ht="12.75">
      <c r="C99" t="s">
        <v>156</v>
      </c>
      <c r="D99" s="35" t="s">
        <v>157</v>
      </c>
    </row>
    <row r="100" spans="1:4" s="40" customFormat="1" ht="15">
      <c r="A100" s="40" t="s">
        <v>266</v>
      </c>
      <c r="B100" s="41"/>
      <c r="C100" s="41">
        <f>SUM(B62+C97)</f>
        <v>204350</v>
      </c>
      <c r="D100" s="41">
        <f>SUM(D62+D97)</f>
        <v>364460</v>
      </c>
    </row>
    <row r="102" spans="1:5" s="40" customFormat="1" ht="15">
      <c r="A102" s="40" t="s">
        <v>267</v>
      </c>
      <c r="B102" s="41"/>
      <c r="C102" s="41">
        <f>SUM(B25-C100)</f>
        <v>75250</v>
      </c>
      <c r="D102" s="41">
        <f>SUM(D25-D100)</f>
        <v>52940</v>
      </c>
      <c r="E102" s="40" t="s">
        <v>268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Jo Ellen Green Kaiser</cp:lastModifiedBy>
  <cp:lastPrinted>2013-01-03T00:27:40Z</cp:lastPrinted>
  <dcterms:created xsi:type="dcterms:W3CDTF">2010-12-20T19:12:33Z</dcterms:created>
  <dcterms:modified xsi:type="dcterms:W3CDTF">2013-07-02T00:26:23Z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